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slicerCaches/slicerCache7.xml" ContentType="application/vnd.ms-excel.slicerCache+xml"/>
  <Override PartName="/xl/slicerCaches/slicerCache8.xml" ContentType="application/vnd.ms-excel.slicerCache+xml"/>
  <Override PartName="/xl/slicerCaches/slicerCache9.xml" ContentType="application/vnd.ms-excel.slicerCache+xml"/>
  <Override PartName="/xl/slicerCaches/slicerCache10.xml" ContentType="application/vnd.ms-excel.slicerCache+xml"/>
  <Override PartName="/xl/slicerCaches/slicerCache11.xml" ContentType="application/vnd.ms-excel.slicerCache+xml"/>
  <Override PartName="/xl/slicerCaches/slicerCache12.xml" ContentType="application/vnd.ms-excel.slicerCache+xml"/>
  <Override PartName="/xl/slicerCaches/slicerCache13.xml" ContentType="application/vnd.ms-excel.slicerCache+xml"/>
  <Override PartName="/xl/slicerCaches/slicerCache14.xml" ContentType="application/vnd.ms-excel.slicerCache+xml"/>
  <Override PartName="/xl/slicerCaches/slicerCache15.xml" ContentType="application/vnd.ms-excel.slicerCache+xml"/>
  <Override PartName="/xl/slicerCaches/slicerCache16.xml" ContentType="application/vnd.ms-excel.slicerCache+xml"/>
  <Override PartName="/xl/slicerCaches/slicerCache17.xml" ContentType="application/vnd.ms-excel.slicerCache+xml"/>
  <Override PartName="/xl/slicerCaches/slicerCache18.xml" ContentType="application/vnd.ms-excel.slicerCache+xml"/>
  <Override PartName="/xl/slicerCaches/slicerCache19.xml" ContentType="application/vnd.ms-excel.slicerCache+xml"/>
  <Override PartName="/xl/slicerCaches/slicerCache20.xml" ContentType="application/vnd.ms-excel.slicerCache+xml"/>
  <Override PartName="/xl/slicerCaches/slicerCache21.xml" ContentType="application/vnd.ms-excel.slicerCache+xml"/>
  <Override PartName="/xl/slicerCaches/slicerCache22.xml" ContentType="application/vnd.ms-excel.slicerCache+xml"/>
  <Override PartName="/xl/slicerCaches/slicerCache23.xml" ContentType="application/vnd.ms-excel.slicerCache+xml"/>
  <Override PartName="/xl/slicerCaches/slicerCache24.xml" ContentType="application/vnd.ms-excel.slicerCache+xml"/>
  <Override PartName="/xl/slicerCaches/slicerCache25.xml" ContentType="application/vnd.ms-excel.slicerCache+xml"/>
  <Override PartName="/xl/slicerCaches/slicerCache26.xml" ContentType="application/vnd.ms-excel.slicerCache+xml"/>
  <Override PartName="/xl/slicerCaches/slicerCache27.xml" ContentType="application/vnd.ms-excel.slicerCache+xml"/>
  <Override PartName="/xl/slicerCaches/slicerCache28.xml" ContentType="application/vnd.ms-excel.slicerCache+xml"/>
  <Override PartName="/xl/slicerCaches/slicerCache29.xml" ContentType="application/vnd.ms-excel.slicerCache+xml"/>
  <Override PartName="/xl/slicerCaches/slicerCache30.xml" ContentType="application/vnd.ms-excel.slicerCache+xml"/>
  <Override PartName="/xl/slicerCaches/slicerCache31.xml" ContentType="application/vnd.ms-excel.slicerCache+xml"/>
  <Override PartName="/xl/slicerCaches/slicerCache32.xml" ContentType="application/vnd.ms-excel.slicerCache+xml"/>
  <Override PartName="/xl/slicerCaches/slicerCache33.xml" ContentType="application/vnd.ms-excel.slicerCache+xml"/>
  <Override PartName="/xl/slicerCaches/slicerCache34.xml" ContentType="application/vnd.ms-excel.slicerCache+xml"/>
  <Override PartName="/xl/slicerCaches/slicerCache35.xml" ContentType="application/vnd.ms-excel.slicerCache+xml"/>
  <Override PartName="/xl/slicerCaches/slicerCache36.xml" ContentType="application/vnd.ms-excel.slicerCache+xml"/>
  <Override PartName="/xl/slicerCaches/slicerCache37.xml" ContentType="application/vnd.ms-excel.slicerCache+xml"/>
  <Override PartName="/xl/slicerCaches/slicerCache38.xml" ContentType="application/vnd.ms-excel.slicerCache+xml"/>
  <Override PartName="/xl/slicerCaches/slicerCache39.xml" ContentType="application/vnd.ms-excel.slicerCache+xml"/>
  <Override PartName="/xl/slicerCaches/slicerCache40.xml" ContentType="application/vnd.ms-excel.slicerCache+xml"/>
  <Override PartName="/xl/slicerCaches/slicerCache41.xml" ContentType="application/vnd.ms-excel.slicerCache+xml"/>
  <Override PartName="/xl/slicerCaches/slicerCache42.xml" ContentType="application/vnd.ms-excel.slicerCache+xml"/>
  <Override PartName="/xl/slicerCaches/slicerCache43.xml" ContentType="application/vnd.ms-excel.slicerCache+xml"/>
  <Override PartName="/xl/slicerCaches/slicerCache44.xml" ContentType="application/vnd.ms-excel.slicerCache+xml"/>
  <Override PartName="/xl/slicerCaches/slicerCache45.xml" ContentType="application/vnd.ms-excel.slicerCache+xml"/>
  <Override PartName="/xl/slicerCaches/slicerCache46.xml" ContentType="application/vnd.ms-excel.slicerCache+xml"/>
  <Override PartName="/xl/slicerCaches/slicerCache47.xml" ContentType="application/vnd.ms-excel.slicerCache+xml"/>
  <Override PartName="/xl/slicerCaches/slicerCache48.xml" ContentType="application/vnd.ms-excel.slicerCache+xml"/>
  <Override PartName="/xl/slicerCaches/slicerCache49.xml" ContentType="application/vnd.ms-excel.slicerCache+xml"/>
  <Override PartName="/xl/slicerCaches/slicerCache50.xml" ContentType="application/vnd.ms-excel.slicerCache+xml"/>
  <Override PartName="/xl/slicerCaches/slicerCache51.xml" ContentType="application/vnd.ms-excel.slicerCache+xml"/>
  <Override PartName="/xl/slicerCaches/slicerCache52.xml" ContentType="application/vnd.ms-excel.slicerCache+xml"/>
  <Override PartName="/xl/slicerCaches/slicerCache53.xml" ContentType="application/vnd.ms-excel.slicerCache+xml"/>
  <Override PartName="/xl/slicerCaches/slicerCache54.xml" ContentType="application/vnd.ms-excel.slicerCache+xml"/>
  <Override PartName="/xl/slicerCaches/slicerCache55.xml" ContentType="application/vnd.ms-excel.slicerCache+xml"/>
  <Override PartName="/xl/slicerCaches/slicerCache56.xml" ContentType="application/vnd.ms-excel.slicerCache+xml"/>
  <Override PartName="/xl/slicerCaches/slicerCache57.xml" ContentType="application/vnd.ms-excel.slicerCache+xml"/>
  <Override PartName="/xl/slicerCaches/slicerCache58.xml" ContentType="application/vnd.ms-excel.slicerCache+xml"/>
  <Override PartName="/xl/slicerCaches/slicerCache59.xml" ContentType="application/vnd.ms-excel.slicerCache+xml"/>
  <Override PartName="/xl/slicerCaches/slicerCache60.xml" ContentType="application/vnd.ms-excel.slicerCache+xml"/>
  <Override PartName="/xl/slicerCaches/slicerCache61.xml" ContentType="application/vnd.ms-excel.slicerCache+xml"/>
  <Override PartName="/xl/slicerCaches/slicerCache62.xml" ContentType="application/vnd.ms-excel.slicerCache+xml"/>
  <Override PartName="/xl/slicerCaches/slicerCache63.xml" ContentType="application/vnd.ms-excel.slicerCache+xml"/>
  <Override PartName="/xl/slicerCaches/slicerCache64.xml" ContentType="application/vnd.ms-excel.slicerCache+xml"/>
  <Override PartName="/xl/slicerCaches/slicerCache65.xml" ContentType="application/vnd.ms-excel.slicerCache+xml"/>
  <Override PartName="/xl/slicerCaches/slicerCache66.xml" ContentType="application/vnd.ms-excel.slicerCache+xml"/>
  <Override PartName="/xl/slicerCaches/slicerCache67.xml" ContentType="application/vnd.ms-excel.slicerCache+xml"/>
  <Override PartName="/xl/slicerCaches/slicerCache68.xml" ContentType="application/vnd.ms-excel.slicerCache+xml"/>
  <Override PartName="/xl/slicerCaches/slicerCache69.xml" ContentType="application/vnd.ms-excel.slicerCache+xml"/>
  <Override PartName="/xl/slicerCaches/slicerCache70.xml" ContentType="application/vnd.ms-excel.slicerCache+xml"/>
  <Override PartName="/xl/slicerCaches/slicerCache71.xml" ContentType="application/vnd.ms-excel.slicerCache+xml"/>
  <Override PartName="/xl/slicerCaches/slicerCache72.xml" ContentType="application/vnd.ms-excel.slicerCache+xml"/>
  <Override PartName="/xl/slicerCaches/slicerCache73.xml" ContentType="application/vnd.ms-excel.slicerCache+xml"/>
  <Override PartName="/xl/slicerCaches/slicerCache74.xml" ContentType="application/vnd.ms-excel.slicerCache+xml"/>
  <Override PartName="/xl/slicerCaches/slicerCache75.xml" ContentType="application/vnd.ms-excel.slicerCache+xml"/>
  <Override PartName="/xl/slicerCaches/slicerCache76.xml" ContentType="application/vnd.ms-excel.slicerCache+xml"/>
  <Override PartName="/xl/slicerCaches/slicerCache77.xml" ContentType="application/vnd.ms-excel.slicerCache+xml"/>
  <Override PartName="/xl/slicerCaches/slicerCache78.xml" ContentType="application/vnd.ms-excel.slicerCache+xml"/>
  <Override PartName="/xl/slicerCaches/slicerCache79.xml" ContentType="application/vnd.ms-excel.slicerCache+xml"/>
  <Override PartName="/xl/slicerCaches/slicerCache80.xml" ContentType="application/vnd.ms-excel.slicerCache+xml"/>
  <Override PartName="/xl/slicerCaches/slicerCache81.xml" ContentType="application/vnd.ms-excel.slicerCache+xml"/>
  <Override PartName="/xl/slicerCaches/slicerCache82.xml" ContentType="application/vnd.ms-excel.slicerCache+xml"/>
  <Override PartName="/xl/slicerCaches/slicerCache83.xml" ContentType="application/vnd.ms-excel.slicerCache+xml"/>
  <Override PartName="/xl/slicerCaches/slicerCache84.xml" ContentType="application/vnd.ms-excel.slicerCache+xml"/>
  <Override PartName="/xl/slicerCaches/slicerCache85.xml" ContentType="application/vnd.ms-excel.slicerCache+xml"/>
  <Override PartName="/xl/slicerCaches/slicerCache86.xml" ContentType="application/vnd.ms-excel.slicerCache+xml"/>
  <Override PartName="/xl/slicerCaches/slicerCache87.xml" ContentType="application/vnd.ms-excel.slicerCache+xml"/>
  <Override PartName="/xl/slicerCaches/slicerCache88.xml" ContentType="application/vnd.ms-excel.slicerCache+xml"/>
  <Override PartName="/xl/slicerCaches/slicerCache89.xml" ContentType="application/vnd.ms-excel.slicerCache+xml"/>
  <Override PartName="/xl/slicerCaches/slicerCache90.xml" ContentType="application/vnd.ms-excel.slicerCache+xml"/>
  <Override PartName="/xl/slicerCaches/slicerCache91.xml" ContentType="application/vnd.ms-excel.slicerCache+xml"/>
  <Override PartName="/xl/slicerCaches/slicerCache92.xml" ContentType="application/vnd.ms-excel.slicerCache+xml"/>
  <Override PartName="/xl/slicerCaches/slicerCache93.xml" ContentType="application/vnd.ms-excel.slicerCache+xml"/>
  <Override PartName="/xl/slicerCaches/slicerCache94.xml" ContentType="application/vnd.ms-excel.slicerCache+xml"/>
  <Override PartName="/xl/slicerCaches/slicerCache95.xml" ContentType="application/vnd.ms-excel.slicerCache+xml"/>
  <Override PartName="/xl/slicerCaches/slicerCache96.xml" ContentType="application/vnd.ms-excel.slicerCache+xml"/>
  <Override PartName="/xl/slicerCaches/slicerCache97.xml" ContentType="application/vnd.ms-excel.slicerCache+xml"/>
  <Override PartName="/xl/slicerCaches/slicerCache98.xml" ContentType="application/vnd.ms-excel.slicerCache+xml"/>
  <Override PartName="/xl/slicerCaches/slicerCache99.xml" ContentType="application/vnd.ms-excel.slicerCache+xml"/>
  <Override PartName="/xl/slicerCaches/slicerCache100.xml" ContentType="application/vnd.ms-excel.slicerCache+xml"/>
  <Override PartName="/xl/slicerCaches/slicerCache101.xml" ContentType="application/vnd.ms-excel.slicerCache+xml"/>
  <Override PartName="/xl/slicerCaches/slicerCache102.xml" ContentType="application/vnd.ms-excel.slicerCache+xml"/>
  <Override PartName="/xl/slicerCaches/slicerCache103.xml" ContentType="application/vnd.ms-excel.slicerCache+xml"/>
  <Override PartName="/xl/slicerCaches/slicerCache104.xml" ContentType="application/vnd.ms-excel.slicerCache+xml"/>
  <Override PartName="/xl/slicerCaches/slicerCache105.xml" ContentType="application/vnd.ms-excel.slicerCache+xml"/>
  <Override PartName="/xl/slicerCaches/slicerCache106.xml" ContentType="application/vnd.ms-excel.slicerCache+xml"/>
  <Override PartName="/xl/slicerCaches/slicerCache107.xml" ContentType="application/vnd.ms-excel.slicerCache+xml"/>
  <Override PartName="/xl/slicerCaches/slicerCache108.xml" ContentType="application/vnd.ms-excel.slicerCache+xml"/>
  <Override PartName="/xl/slicerCaches/slicerCache109.xml" ContentType="application/vnd.ms-excel.slicerCache+xml"/>
  <Override PartName="/xl/slicerCaches/slicerCache110.xml" ContentType="application/vnd.ms-excel.slicerCache+xml"/>
  <Override PartName="/xl/slicerCaches/slicerCache111.xml" ContentType="application/vnd.ms-excel.slicerCache+xml"/>
  <Override PartName="/xl/slicerCaches/slicerCache112.xml" ContentType="application/vnd.ms-excel.slicerCache+xml"/>
  <Override PartName="/xl/slicerCaches/slicerCache113.xml" ContentType="application/vnd.ms-excel.slicerCache+xml"/>
  <Override PartName="/xl/slicerCaches/slicerCache114.xml" ContentType="application/vnd.ms-excel.slicerCache+xml"/>
  <Override PartName="/xl/slicerCaches/slicerCache115.xml" ContentType="application/vnd.ms-excel.slicerCache+xml"/>
  <Override PartName="/xl/slicerCaches/slicerCache116.xml" ContentType="application/vnd.ms-excel.slicerCache+xml"/>
  <Override PartName="/xl/slicerCaches/slicerCache117.xml" ContentType="application/vnd.ms-excel.slicerCache+xml"/>
  <Override PartName="/xl/slicerCaches/slicerCache118.xml" ContentType="application/vnd.ms-excel.slicerCache+xml"/>
  <Override PartName="/xl/slicerCaches/slicerCache119.xml" ContentType="application/vnd.ms-excel.slicerCache+xml"/>
  <Override PartName="/xl/slicerCaches/slicerCache120.xml" ContentType="application/vnd.ms-excel.slicerCache+xml"/>
  <Override PartName="/xl/slicerCaches/slicerCache121.xml" ContentType="application/vnd.ms-excel.slicerCache+xml"/>
  <Override PartName="/xl/slicerCaches/slicerCache122.xml" ContentType="application/vnd.ms-excel.slicerCache+xml"/>
  <Override PartName="/xl/slicerCaches/slicerCache123.xml" ContentType="application/vnd.ms-excel.slicerCache+xml"/>
  <Override PartName="/xl/slicerCaches/slicerCache124.xml" ContentType="application/vnd.ms-excel.slicerCache+xml"/>
  <Override PartName="/xl/slicerCaches/slicerCache125.xml" ContentType="application/vnd.ms-excel.slicerCache+xml"/>
  <Override PartName="/xl/slicerCaches/slicerCache126.xml" ContentType="application/vnd.ms-excel.slicerCache+xml"/>
  <Override PartName="/xl/slicerCaches/slicerCache127.xml" ContentType="application/vnd.ms-excel.slicerCache+xml"/>
  <Override PartName="/xl/slicerCaches/slicerCache128.xml" ContentType="application/vnd.ms-excel.slicerCache+xml"/>
  <Override PartName="/xl/slicerCaches/slicerCache129.xml" ContentType="application/vnd.ms-excel.slicerCache+xml"/>
  <Override PartName="/xl/slicerCaches/slicerCache130.xml" ContentType="application/vnd.ms-excel.slicerCache+xml"/>
  <Override PartName="/xl/slicerCaches/slicerCache131.xml" ContentType="application/vnd.ms-excel.slicerCache+xml"/>
  <Override PartName="/xl/slicerCaches/slicerCache132.xml" ContentType="application/vnd.ms-excel.slicerCache+xml"/>
  <Override PartName="/xl/slicerCaches/slicerCache133.xml" ContentType="application/vnd.ms-excel.slicerCache+xml"/>
  <Override PartName="/xl/slicerCaches/slicerCache134.xml" ContentType="application/vnd.ms-excel.slicerCache+xml"/>
  <Override PartName="/xl/slicerCaches/slicerCache135.xml" ContentType="application/vnd.ms-excel.slicerCache+xml"/>
  <Override PartName="/xl/slicerCaches/slicerCache136.xml" ContentType="application/vnd.ms-excel.slicerCache+xml"/>
  <Override PartName="/xl/slicerCaches/slicerCache137.xml" ContentType="application/vnd.ms-excel.slicerCache+xml"/>
  <Override PartName="/xl/slicerCaches/slicerCache138.xml" ContentType="application/vnd.ms-excel.slicerCache+xml"/>
  <Override PartName="/xl/slicerCaches/slicerCache139.xml" ContentType="application/vnd.ms-excel.slicerCache+xml"/>
  <Override PartName="/xl/slicerCaches/slicerCache140.xml" ContentType="application/vnd.ms-excel.slicerCache+xml"/>
  <Override PartName="/xl/slicerCaches/slicerCache141.xml" ContentType="application/vnd.ms-excel.slicerCache+xml"/>
  <Override PartName="/xl/slicerCaches/slicerCache142.xml" ContentType="application/vnd.ms-excel.slicerCache+xml"/>
  <Override PartName="/xl/slicerCaches/slicerCache143.xml" ContentType="application/vnd.ms-excel.slicerCache+xml"/>
  <Override PartName="/xl/slicerCaches/slicerCache144.xml" ContentType="application/vnd.ms-excel.slicerCache+xml"/>
  <Override PartName="/xl/slicerCaches/slicerCache145.xml" ContentType="application/vnd.ms-excel.slicerCache+xml"/>
  <Override PartName="/xl/slicerCaches/slicerCache146.xml" ContentType="application/vnd.ms-excel.slicerCache+xml"/>
  <Override PartName="/xl/slicerCaches/slicerCache147.xml" ContentType="application/vnd.ms-excel.slicerCache+xml"/>
  <Override PartName="/xl/slicerCaches/slicerCache148.xml" ContentType="application/vnd.ms-excel.slicerCache+xml"/>
  <Override PartName="/xl/slicerCaches/slicerCache149.xml" ContentType="application/vnd.ms-excel.slicerCache+xml"/>
  <Override PartName="/xl/slicerCaches/slicerCache150.xml" ContentType="application/vnd.ms-excel.slicerCache+xml"/>
  <Override PartName="/xl/slicerCaches/slicerCache151.xml" ContentType="application/vnd.ms-excel.slicerCache+xml"/>
  <Override PartName="/xl/slicerCaches/slicerCache152.xml" ContentType="application/vnd.ms-excel.slicerCache+xml"/>
  <Override PartName="/xl/slicerCaches/slicerCache153.xml" ContentType="application/vnd.ms-excel.slicerCache+xml"/>
  <Override PartName="/xl/slicerCaches/slicerCache154.xml" ContentType="application/vnd.ms-excel.slicerCache+xml"/>
  <Override PartName="/xl/slicerCaches/slicerCache155.xml" ContentType="application/vnd.ms-excel.slicerCache+xml"/>
  <Override PartName="/xl/slicerCaches/slicerCache156.xml" ContentType="application/vnd.ms-excel.slicerCache+xml"/>
  <Override PartName="/xl/slicerCaches/slicerCache157.xml" ContentType="application/vnd.ms-excel.slicerCache+xml"/>
  <Override PartName="/xl/slicerCaches/slicerCache158.xml" ContentType="application/vnd.ms-excel.slicerCache+xml"/>
  <Override PartName="/xl/slicerCaches/slicerCache159.xml" ContentType="application/vnd.ms-excel.slicerCache+xml"/>
  <Override PartName="/xl/slicerCaches/slicerCache160.xml" ContentType="application/vnd.ms-excel.slicerCache+xml"/>
  <Override PartName="/xl/slicerCaches/slicerCache161.xml" ContentType="application/vnd.ms-excel.slicerCache+xml"/>
  <Override PartName="/xl/slicerCaches/slicerCache162.xml" ContentType="application/vnd.ms-excel.slicerCache+xml"/>
  <Override PartName="/xl/slicerCaches/slicerCache163.xml" ContentType="application/vnd.ms-excel.slicerCache+xml"/>
  <Override PartName="/xl/slicerCaches/slicerCache164.xml" ContentType="application/vnd.ms-excel.slicerCache+xml"/>
  <Override PartName="/xl/slicerCaches/slicerCache165.xml" ContentType="application/vnd.ms-excel.slicerCache+xml"/>
  <Override PartName="/xl/slicerCaches/slicerCache166.xml" ContentType="application/vnd.ms-excel.slicerCache+xml"/>
  <Override PartName="/xl/slicerCaches/slicerCache167.xml" ContentType="application/vnd.ms-excel.slicerCache+xml"/>
  <Override PartName="/xl/slicerCaches/slicerCache168.xml" ContentType="application/vnd.ms-excel.slicerCache+xml"/>
  <Override PartName="/xl/slicerCaches/slicerCache169.xml" ContentType="application/vnd.ms-excel.slicerCache+xml"/>
  <Override PartName="/xl/slicerCaches/slicerCache170.xml" ContentType="application/vnd.ms-excel.slicerCache+xml"/>
  <Override PartName="/xl/slicerCaches/slicerCache171.xml" ContentType="application/vnd.ms-excel.slicerCache+xml"/>
  <Override PartName="/xl/slicerCaches/slicerCache172.xml" ContentType="application/vnd.ms-excel.slicerCache+xml"/>
  <Override PartName="/xl/slicerCaches/slicerCache173.xml" ContentType="application/vnd.ms-excel.slicerCache+xml"/>
  <Override PartName="/xl/slicerCaches/slicerCache174.xml" ContentType="application/vnd.ms-excel.slicerCache+xml"/>
  <Override PartName="/xl/slicerCaches/slicerCache175.xml" ContentType="application/vnd.ms-excel.slicerCache+xml"/>
  <Override PartName="/xl/slicerCaches/slicerCache176.xml" ContentType="application/vnd.ms-excel.slicerCache+xml"/>
  <Override PartName="/xl/slicerCaches/slicerCache177.xml" ContentType="application/vnd.ms-excel.slicerCache+xml"/>
  <Override PartName="/xl/slicerCaches/slicerCache178.xml" ContentType="application/vnd.ms-excel.slicerCache+xml"/>
  <Override PartName="/xl/slicerCaches/slicerCache179.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tables/table1.xml" ContentType="application/vnd.openxmlformats-officedocument.spreadsheetml.table+xml"/>
  <Override PartName="/xl/drawings/drawing2.xml" ContentType="application/vnd.openxmlformats-officedocument.drawing+xml"/>
  <Override PartName="/xl/tables/table2.xml" ContentType="application/vnd.openxmlformats-officedocument.spreadsheetml.table+xml"/>
  <Override PartName="/xl/tables/table3.xml" ContentType="application/vnd.openxmlformats-officedocument.spreadsheetml.table+xml"/>
  <Override PartName="/xl/drawings/drawing3.xml" ContentType="application/vnd.openxmlformats-officedocument.drawing+xml"/>
  <Override PartName="/xl/tables/table4.xml" ContentType="application/vnd.openxmlformats-officedocument.spreadsheetml.table+xml"/>
  <Override PartName="/xl/slicers/slicer1.xml" ContentType="application/vnd.ms-excel.slicer+xml"/>
  <Override PartName="/xl/drawings/drawing4.xml" ContentType="application/vnd.openxmlformats-officedocument.drawing+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slicers/slicer2.xml" ContentType="application/vnd.ms-excel.slicer+xml"/>
  <Override PartName="/xl/drawings/drawing5.xml" ContentType="application/vnd.openxmlformats-officedocument.drawing+xml"/>
  <Override PartName="/xl/tables/table10.xml" ContentType="application/vnd.openxmlformats-officedocument.spreadsheetml.table+xml"/>
  <Override PartName="/xl/tables/table11.xml" ContentType="application/vnd.openxmlformats-officedocument.spreadsheetml.table+xml"/>
  <Override PartName="/xl/tables/table12.xml" ContentType="application/vnd.openxmlformats-officedocument.spreadsheetml.table+xml"/>
  <Override PartName="/xl/tables/table13.xml" ContentType="application/vnd.openxmlformats-officedocument.spreadsheetml.table+xml"/>
  <Override PartName="/xl/tables/table14.xml" ContentType="application/vnd.openxmlformats-officedocument.spreadsheetml.table+xml"/>
  <Override PartName="/xl/tables/table15.xml" ContentType="application/vnd.openxmlformats-officedocument.spreadsheetml.table+xml"/>
  <Override PartName="/xl/slicers/slicer3.xml" ContentType="application/vnd.ms-excel.slicer+xml"/>
  <Override PartName="/xl/drawings/drawing6.xml" ContentType="application/vnd.openxmlformats-officedocument.drawing+xml"/>
  <Override PartName="/xl/tables/table16.xml" ContentType="application/vnd.openxmlformats-officedocument.spreadsheetml.table+xml"/>
  <Override PartName="/xl/tables/table17.xml" ContentType="application/vnd.openxmlformats-officedocument.spreadsheetml.table+xml"/>
  <Override PartName="/xl/tables/table18.xml" ContentType="application/vnd.openxmlformats-officedocument.spreadsheetml.table+xml"/>
  <Override PartName="/xl/tables/table19.xml" ContentType="application/vnd.openxmlformats-officedocument.spreadsheetml.table+xml"/>
  <Override PartName="/xl/tables/table20.xml" ContentType="application/vnd.openxmlformats-officedocument.spreadsheetml.table+xml"/>
  <Override PartName="/xl/tables/table21.xml" ContentType="application/vnd.openxmlformats-officedocument.spreadsheetml.table+xml"/>
  <Override PartName="/xl/tables/table22.xml" ContentType="application/vnd.openxmlformats-officedocument.spreadsheetml.table+xml"/>
  <Override PartName="/xl/slicers/slicer4.xml" ContentType="application/vnd.ms-excel.slicer+xml"/>
  <Override PartName="/xl/drawings/drawing7.xml" ContentType="application/vnd.openxmlformats-officedocument.drawing+xml"/>
  <Override PartName="/xl/tables/table23.xml" ContentType="application/vnd.openxmlformats-officedocument.spreadsheetml.table+xml"/>
  <Override PartName="/xl/tables/table24.xml" ContentType="application/vnd.openxmlformats-officedocument.spreadsheetml.table+xml"/>
  <Override PartName="/xl/tables/table25.xml" ContentType="application/vnd.openxmlformats-officedocument.spreadsheetml.table+xml"/>
  <Override PartName="/xl/tables/table26.xml" ContentType="application/vnd.openxmlformats-officedocument.spreadsheetml.table+xml"/>
  <Override PartName="/xl/tables/table27.xml" ContentType="application/vnd.openxmlformats-officedocument.spreadsheetml.table+xml"/>
  <Override PartName="/xl/slicers/slicer5.xml" ContentType="application/vnd.ms-excel.slicer+xml"/>
  <Override PartName="/xl/drawings/drawing8.xml" ContentType="application/vnd.openxmlformats-officedocument.drawing+xml"/>
  <Override PartName="/xl/tables/table28.xml" ContentType="application/vnd.openxmlformats-officedocument.spreadsheetml.table+xml"/>
  <Override PartName="/xl/tables/table29.xml" ContentType="application/vnd.openxmlformats-officedocument.spreadsheetml.table+xml"/>
  <Override PartName="/xl/tables/table30.xml" ContentType="application/vnd.openxmlformats-officedocument.spreadsheetml.table+xml"/>
  <Override PartName="/xl/tables/table31.xml" ContentType="application/vnd.openxmlformats-officedocument.spreadsheetml.table+xml"/>
  <Override PartName="/xl/slicers/slicer6.xml" ContentType="application/vnd.ms-excel.slicer+xml"/>
  <Override PartName="/xl/tables/table32.xml" ContentType="application/vnd.openxmlformats-officedocument.spreadsheetml.table+xml"/>
  <Override PartName="/xl/drawings/drawing9.xml" ContentType="application/vnd.openxmlformats-officedocument.drawing+xml"/>
  <Override PartName="/xl/tables/table33.xml" ContentType="application/vnd.openxmlformats-officedocument.spreadsheetml.table+xml"/>
  <Override PartName="/xl/slicers/slicer7.xml" ContentType="application/vnd.ms-excel.slicer+xml"/>
  <Override PartName="/xl/drawings/drawing10.xml" ContentType="application/vnd.openxmlformats-officedocument.drawing+xml"/>
  <Override PartName="/xl/tables/table34.xml" ContentType="application/vnd.openxmlformats-officedocument.spreadsheetml.table+xml"/>
  <Override PartName="/xl/slicers/slicer8.xml" ContentType="application/vnd.ms-excel.slicer+xml"/>
  <Override PartName="/xl/drawings/drawing11.xml" ContentType="application/vnd.openxmlformats-officedocument.drawing+xml"/>
  <Override PartName="/xl/tables/table35.xml" ContentType="application/vnd.openxmlformats-officedocument.spreadsheetml.table+xml"/>
  <Override PartName="/xl/slicers/slicer9.xml" ContentType="application/vnd.ms-excel.slicer+xml"/>
  <Override PartName="/xl/drawings/drawing12.xml" ContentType="application/vnd.openxmlformats-officedocument.drawing+xml"/>
  <Override PartName="/xl/tables/table36.xml" ContentType="application/vnd.openxmlformats-officedocument.spreadsheetml.table+xml"/>
  <Override PartName="/xl/slicers/slicer10.xml" ContentType="application/vnd.ms-excel.slicer+xml"/>
  <Override PartName="/xl/drawings/drawing13.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028"/>
  <workbookPr codeName="ThisWorkbook" hidePivotFieldList="1"/>
  <mc:AlternateContent xmlns:mc="http://schemas.openxmlformats.org/markup-compatibility/2006">
    <mc:Choice Requires="x15">
      <x15ac:absPath xmlns:x15ac="http://schemas.microsoft.com/office/spreadsheetml/2010/11/ac" url="D:\MSNesarAH-Files\University\4th Semester\OSD\Final Assignment\"/>
    </mc:Choice>
  </mc:AlternateContent>
  <xr:revisionPtr revIDLastSave="0" documentId="13_ncr:1_{CA438B75-90AF-4577-B185-C80814E07C51}" xr6:coauthVersionLast="47" xr6:coauthVersionMax="47" xr10:uidLastSave="{00000000-0000-0000-0000-000000000000}"/>
  <bookViews>
    <workbookView xWindow="-120" yWindow="-120" windowWidth="20730" windowHeight="11760" tabRatio="749" xr2:uid="{00000000-000D-0000-FFFF-FFFF00000000}"/>
  </bookViews>
  <sheets>
    <sheet name="Cover Page" sheetId="22" r:id="rId1"/>
    <sheet name="Introduction" sheetId="23" r:id="rId2"/>
    <sheet name="Basic Knowledge" sheetId="10" r:id="rId3"/>
    <sheet name="Student Information" sheetId="4" r:id="rId4"/>
    <sheet name="1st Semester" sheetId="14" r:id="rId5"/>
    <sheet name="2nd Semester" sheetId="15" r:id="rId6"/>
    <sheet name="3rd Semester" sheetId="20" r:id="rId7"/>
    <sheet name="4th Semester" sheetId="21" r:id="rId8"/>
    <sheet name="5th Semester" sheetId="18" r:id="rId9"/>
    <sheet name="Total Semester CGPA" sheetId="9" r:id="rId10"/>
    <sheet name="Employee Information" sheetId="5" r:id="rId11"/>
    <sheet name="Employee Basic Salary" sheetId="24" r:id="rId12"/>
    <sheet name="Employee Gross Salary" sheetId="11" r:id="rId13"/>
    <sheet name="Employee Net Salary" sheetId="12" r:id="rId14"/>
    <sheet name="Thank You" sheetId="25" r:id="rId15"/>
  </sheets>
  <definedNames>
    <definedName name="_xlcn.WorksheetConnection_21116560.xlsxBasic_Knowledge1" hidden="1">Basic_Knowledge[]</definedName>
    <definedName name="_xlcn.WorksheetConnection_21116560.xlsxCover_Page1" hidden="1">Cover_Page[]</definedName>
    <definedName name="_xlcn.WorksheetConnection_21116560.xlsxEmployee_Calculate_Salary1" hidden="1">Employee_Gross_Salary[]</definedName>
    <definedName name="_xlcn.WorksheetConnection_21116560.xlsxEmployee_Information1" hidden="1">Employee_Information[]</definedName>
    <definedName name="_xlcn.WorksheetConnection_21116560.xlsxFirst_Semester_CGPA1" hidden="1">First_Semester_SGPA[]</definedName>
    <definedName name="_xlcn.WorksheetConnection_21116560.xlsxFirst_Semester_Computer_Fundamentals1" hidden="1">First_Semester_Computer_Fundamentals[]</definedName>
    <definedName name="_xlcn.WorksheetConnection_21116560.xlsxFirst_Semester_English_I1" hidden="1">First_Semester_English_I[]</definedName>
    <definedName name="_xlcn.WorksheetConnection_21116560.xlsxFirst_Semester_Information_Systems_Engineering1" hidden="1">First_Semester_Information_Systems_Engineering[]</definedName>
    <definedName name="_xlcn.WorksheetConnection_21116560.xlsxFirst_Semester_Mathematics1" hidden="1">First_Semester_Mathematics[]</definedName>
    <definedName name="_xlcn.WorksheetConnection_21116560.xlsxIntroduction1" hidden="1">Introduction[]</definedName>
    <definedName name="_xlcn.WorksheetConnection_21116560.xlsxSecond_Semester_English_II1" hidden="1">Second_Semester_English_II[]</definedName>
    <definedName name="_xlcn.WorksheetConnection_21116560.xlsxSecond_Semester_Fundamental_Website_Development_Lab1" hidden="1">Second_Semester_Fundamental_Website_Development_Lab[]</definedName>
    <definedName name="_xlcn.WorksheetConnection_21116560.xlsxSecond_Semester_Fundamental_Website_Development1" hidden="1">Second_Semester_Fundamental_Website_Development[]</definedName>
    <definedName name="_xlcn.WorksheetConnection_21116560.xlsxSecond_Semester_SGPA1" hidden="1">Second_Semester_SGPA[]</definedName>
    <definedName name="_xlcn.WorksheetConnection_21116560.xlsxSecond_Semester_Structured_Programming_Lab1" hidden="1">Second_Semester_Structured_Programming_Lab[]</definedName>
    <definedName name="_xlcn.WorksheetConnection_21116560.xlsxSecond_Semester_Structured_Programming1" hidden="1">Second_Semester_Structured_Programming[]</definedName>
    <definedName name="_xlcn.WorksheetConnection_21116560.xlsxStudent_Information1" hidden="1">Student_Information[]</definedName>
    <definedName name="_xlcn.WorksheetConnection_21116560.xlsxThird_Semester_Computer_Network_Lab1" hidden="1">Third_Semester_Computer_Network_Lab[]</definedName>
    <definedName name="_xlcn.WorksheetConnection_21116560.xlsxThird_Semester_Computer_Network1" hidden="1">Third_Semester_Computer_Network[]</definedName>
    <definedName name="_xlcn.WorksheetConnection_21116560.xlsxThird_Semester_Data_Structure_Lab1" hidden="1">Third_Semester_Data_Structure_Lab[]</definedName>
    <definedName name="_xlcn.WorksheetConnection_21116560.xlsxThird_Semester_Data_Structure1" hidden="1">Third_Semester_Data_Structure[]</definedName>
    <definedName name="_xlcn.WorksheetConnection_21116560.xlsxThird_Semester_Discrete_Mathematics1" hidden="1">Third_Semester_Discrete_Mathematics[]</definedName>
    <definedName name="_xlcn.WorksheetConnection_21116560.xlsxThird_Semester_SGPA1" hidden="1">Third_Semester_SGPA[]</definedName>
    <definedName name="_xlcn.WorksheetConnection_21116560.xlsxThird_Semester_Study_and_Communication_Skills1" hidden="1">Third_Semester_Study_and_Communication_Skills[]</definedName>
    <definedName name="Slicer_Assignment">#N/A</definedName>
    <definedName name="Slicer_Assignment1">#N/A</definedName>
    <definedName name="Slicer_Assignment11">#N/A</definedName>
    <definedName name="Slicer_Assignment111">#N/A</definedName>
    <definedName name="Slicer_Assignment1111">#N/A</definedName>
    <definedName name="Slicer_Assignment11111">#N/A</definedName>
    <definedName name="Slicer_Assignment1112">#N/A</definedName>
    <definedName name="Slicer_Assignment11121">#N/A</definedName>
    <definedName name="Slicer_Assignment112">#N/A</definedName>
    <definedName name="Slicer_Assignment1121">#N/A</definedName>
    <definedName name="Slicer_Assignment12">#N/A</definedName>
    <definedName name="Slicer_Assignment121">#N/A</definedName>
    <definedName name="Slicer_Assignment2">#N/A</definedName>
    <definedName name="Slicer_Department">#N/A</definedName>
    <definedName name="Slicer_Department1">#N/A</definedName>
    <definedName name="Slicer_Employee_ID">#N/A</definedName>
    <definedName name="Slicer_Employee_ID1">#N/A</definedName>
    <definedName name="Slicer_Employee_ID11">#N/A</definedName>
    <definedName name="Slicer_Employee_ID2">#N/A</definedName>
    <definedName name="Slicer_Employee_Salary">#N/A</definedName>
    <definedName name="Slicer_Employee_Salary1">#N/A</definedName>
    <definedName name="Slicer_Employee_Salary2">#N/A</definedName>
    <definedName name="Slicer_Final">#N/A</definedName>
    <definedName name="Slicer_Final1">#N/A</definedName>
    <definedName name="Slicer_Final12">#N/A</definedName>
    <definedName name="Slicer_Final2">#N/A</definedName>
    <definedName name="Slicer_Final3">#N/A</definedName>
    <definedName name="Slicer_Final31">#N/A</definedName>
    <definedName name="Slicer_Final311">#N/A</definedName>
    <definedName name="Slicer_Final3111">#N/A</definedName>
    <definedName name="Slicer_Final31111">#N/A</definedName>
    <definedName name="Slicer_Final311111">#N/A</definedName>
    <definedName name="Slicer_Final31112">#N/A</definedName>
    <definedName name="Slicer_Final311121">#N/A</definedName>
    <definedName name="Slicer_Final3112">#N/A</definedName>
    <definedName name="Slicer_Final31121">#N/A</definedName>
    <definedName name="Slicer_Final312">#N/A</definedName>
    <definedName name="Slicer_Final3121">#N/A</definedName>
    <definedName name="Slicer_Final32">#N/A</definedName>
    <definedName name="Slicer_Final4">#N/A</definedName>
    <definedName name="Slicer_Final41">#N/A</definedName>
    <definedName name="Slicer_Final411">#N/A</definedName>
    <definedName name="Slicer_Final5">#N/A</definedName>
    <definedName name="Slicer_Final6">#N/A</definedName>
    <definedName name="Slicer_Grade_Point">#N/A</definedName>
    <definedName name="Slicer_Grade_Point1">#N/A</definedName>
    <definedName name="Slicer_Grade_Point11">#N/A</definedName>
    <definedName name="Slicer_Grade_Point111">#N/A</definedName>
    <definedName name="Slicer_Grade_Point1111">#N/A</definedName>
    <definedName name="Slicer_Grade_Point12">#N/A</definedName>
    <definedName name="Slicer_Grade_Point2">#N/A</definedName>
    <definedName name="Slicer_Grade_Point22">#N/A</definedName>
    <definedName name="Slicer_Grade_Point3">#N/A</definedName>
    <definedName name="Slicer_Grade_Point4">#N/A</definedName>
    <definedName name="Slicer_Grade_Point41">#N/A</definedName>
    <definedName name="Slicer_Grade_Point411">#N/A</definedName>
    <definedName name="Slicer_Grade_Point4111">#N/A</definedName>
    <definedName name="Slicer_Grade_Point41111">#N/A</definedName>
    <definedName name="Slicer_Grade_Point411111">#N/A</definedName>
    <definedName name="Slicer_Grade_Point41112">#N/A</definedName>
    <definedName name="Slicer_Grade_Point411121">#N/A</definedName>
    <definedName name="Slicer_Grade_Point4112">#N/A</definedName>
    <definedName name="Slicer_Grade_Point41121">#N/A</definedName>
    <definedName name="Slicer_Grade_Point412">#N/A</definedName>
    <definedName name="Slicer_Grade_Point4121">#N/A</definedName>
    <definedName name="Slicer_Grade_Point42">#N/A</definedName>
    <definedName name="Slicer_Grade_Scale">#N/A</definedName>
    <definedName name="Slicer_Grade_Scale1">#N/A</definedName>
    <definedName name="Slicer_Grade_Scale12">#N/A</definedName>
    <definedName name="Slicer_Grade_Scale2">#N/A</definedName>
    <definedName name="Slicer_Grade_Scale3">#N/A</definedName>
    <definedName name="Slicer_Grade_Scale31">#N/A</definedName>
    <definedName name="Slicer_Grade_Scale311">#N/A</definedName>
    <definedName name="Slicer_Grade_Scale3111">#N/A</definedName>
    <definedName name="Slicer_Grade_Scale31111">#N/A</definedName>
    <definedName name="Slicer_Grade_Scale311111">#N/A</definedName>
    <definedName name="Slicer_Grade_Scale31112">#N/A</definedName>
    <definedName name="Slicer_Grade_Scale311121">#N/A</definedName>
    <definedName name="Slicer_Grade_Scale3112">#N/A</definedName>
    <definedName name="Slicer_Grade_Scale31121">#N/A</definedName>
    <definedName name="Slicer_Grade_Scale312">#N/A</definedName>
    <definedName name="Slicer_Grade_Scale3121">#N/A</definedName>
    <definedName name="Slicer_Grade_Scale32">#N/A</definedName>
    <definedName name="Slicer_Grade_Scale4">#N/A</definedName>
    <definedName name="Slicer_Grade_Scale41">#N/A</definedName>
    <definedName name="Slicer_Grade_Scale411">#N/A</definedName>
    <definedName name="Slicer_Grade_Scale5">#N/A</definedName>
    <definedName name="Slicer_Grade_Scale6">#N/A</definedName>
    <definedName name="Slicer_Gross_Salary">#N/A</definedName>
    <definedName name="Slicer_Midterm">#N/A</definedName>
    <definedName name="Slicer_Midterm1">#N/A</definedName>
    <definedName name="Slicer_Midterm12">#N/A</definedName>
    <definedName name="Slicer_Midterm2">#N/A</definedName>
    <definedName name="Slicer_Midterm3">#N/A</definedName>
    <definedName name="Slicer_Midterm31">#N/A</definedName>
    <definedName name="Slicer_Midterm311">#N/A</definedName>
    <definedName name="Slicer_Midterm4">#N/A</definedName>
    <definedName name="Slicer_Midterm5">#N/A</definedName>
    <definedName name="Slicer_Name_of_Employee">#N/A</definedName>
    <definedName name="Slicer_Name_of_Employee1">#N/A</definedName>
    <definedName name="Slicer_Name_of_Employee2">#N/A</definedName>
    <definedName name="Slicer_Net_Salary">#N/A</definedName>
    <definedName name="Slicer_Roll_No">#N/A</definedName>
    <definedName name="Slicer_Roll_No1">#N/A</definedName>
    <definedName name="Slicer_Roll_No11">#N/A</definedName>
    <definedName name="Slicer_Roll_No111">#N/A</definedName>
    <definedName name="Slicer_Roll_No1111">#N/A</definedName>
    <definedName name="Slicer_Roll_No12">#N/A</definedName>
    <definedName name="Slicer_Roll_No2">#N/A</definedName>
    <definedName name="Slicer_Roll_No21">#N/A</definedName>
    <definedName name="Slicer_Roll_No211">#N/A</definedName>
    <definedName name="Slicer_Roll_No2111">#N/A</definedName>
    <definedName name="Slicer_Roll_No22">#N/A</definedName>
    <definedName name="Slicer_Roll_No3">#N/A</definedName>
    <definedName name="Slicer_Roll_No32">#N/A</definedName>
    <definedName name="Slicer_Roll_No4">#N/A</definedName>
    <definedName name="Slicer_Roll_No5">#N/A</definedName>
    <definedName name="Slicer_Roll_No51">#N/A</definedName>
    <definedName name="Slicer_Roll_No511">#N/A</definedName>
    <definedName name="Slicer_Roll_No5111">#N/A</definedName>
    <definedName name="Slicer_Roll_No51111">#N/A</definedName>
    <definedName name="Slicer_Roll_No511111">#N/A</definedName>
    <definedName name="Slicer_Roll_No51112">#N/A</definedName>
    <definedName name="Slicer_Roll_No511121">#N/A</definedName>
    <definedName name="Slicer_Roll_No5112">#N/A</definedName>
    <definedName name="Slicer_Roll_No51121">#N/A</definedName>
    <definedName name="Slicer_Roll_No512">#N/A</definedName>
    <definedName name="Slicer_Roll_No5121">#N/A</definedName>
    <definedName name="Slicer_Roll_No52">#N/A</definedName>
    <definedName name="Slicer_Roll_No6">#N/A</definedName>
    <definedName name="Slicer_Round_of_Average">#N/A</definedName>
    <definedName name="Slicer_Round_of_Average1">#N/A</definedName>
    <definedName name="Slicer_Round_of_Average12">#N/A</definedName>
    <definedName name="Slicer_Round_of_Average2">#N/A</definedName>
    <definedName name="Slicer_Round_of_Average3">#N/A</definedName>
    <definedName name="Slicer_Round_of_Average31">#N/A</definedName>
    <definedName name="Slicer_Round_of_Average311">#N/A</definedName>
    <definedName name="Slicer_Round_of_Average3111">#N/A</definedName>
    <definedName name="Slicer_Round_of_Average31111">#N/A</definedName>
    <definedName name="Slicer_Round_of_Average311111">#N/A</definedName>
    <definedName name="Slicer_Round_of_Average31112">#N/A</definedName>
    <definedName name="Slicer_Round_of_Average311121">#N/A</definedName>
    <definedName name="Slicer_Round_of_Average3112">#N/A</definedName>
    <definedName name="Slicer_Round_of_Average31121">#N/A</definedName>
    <definedName name="Slicer_Round_of_Average312">#N/A</definedName>
    <definedName name="Slicer_Round_of_Average3121">#N/A</definedName>
    <definedName name="Slicer_Round_of_Average32">#N/A</definedName>
    <definedName name="Slicer_Round_of_Average4">#N/A</definedName>
    <definedName name="Slicer_Round_of_Average41">#N/A</definedName>
    <definedName name="Slicer_Round_of_Average411">#N/A</definedName>
    <definedName name="Slicer_Round_of_Average5">#N/A</definedName>
    <definedName name="Slicer_Round_of_Average6">#N/A</definedName>
    <definedName name="Slicer_Total">#N/A</definedName>
    <definedName name="Slicer_Total_Subject_CGPA">#N/A</definedName>
    <definedName name="Slicer_Total_Subject_CGPA1">#N/A</definedName>
    <definedName name="Slicer_Total_Subject_CGPA11">#N/A</definedName>
    <definedName name="Slicer_Total_Subject_CGPA111">#N/A</definedName>
    <definedName name="Slicer_Total_Subject_CGPA2">#N/A</definedName>
    <definedName name="Slicer_Total1">#N/A</definedName>
    <definedName name="Slicer_Total12">#N/A</definedName>
    <definedName name="Slicer_Total2">#N/A</definedName>
    <definedName name="Slicer_Total3">#N/A</definedName>
    <definedName name="Slicer_Total31">#N/A</definedName>
    <definedName name="Slicer_Total311">#N/A</definedName>
    <definedName name="Slicer_Total3111">#N/A</definedName>
    <definedName name="Slicer_Total31111">#N/A</definedName>
    <definedName name="Slicer_Total311111">#N/A</definedName>
    <definedName name="Slicer_Total31112">#N/A</definedName>
    <definedName name="Slicer_Total311121">#N/A</definedName>
    <definedName name="Slicer_Total3112">#N/A</definedName>
    <definedName name="Slicer_Total31121">#N/A</definedName>
    <definedName name="Slicer_Total312">#N/A</definedName>
    <definedName name="Slicer_Total3121">#N/A</definedName>
    <definedName name="Slicer_Total32">#N/A</definedName>
    <definedName name="Slicer_Total4">#N/A</definedName>
    <definedName name="Slicer_Total41">#N/A</definedName>
    <definedName name="Slicer_Total411">#N/A</definedName>
    <definedName name="Slicer_Total5">#N/A</definedName>
    <definedName name="Slicer_Total6">#N/A</definedName>
  </definedNames>
  <calcPr calcId="191029"/>
  <extLst>
    <ext xmlns:x14="http://schemas.microsoft.com/office/spreadsheetml/2009/9/main" uri="{79F54976-1DA5-4618-B147-4CDE4B953A38}">
      <x14:workbookPr/>
    </ext>
    <ext xmlns:x15="http://schemas.microsoft.com/office/spreadsheetml/2010/11/main" uri="{46BE6895-7355-4a93-B00E-2C351335B9C9}">
      <x15:slicerCaches xmlns:x14="http://schemas.microsoft.com/office/spreadsheetml/2009/9/main">
        <x14:slicerCache r:id="rId16"/>
        <x14:slicerCache r:id="rId17"/>
        <x14:slicerCache r:id="rId18"/>
        <x14:slicerCache r:id="rId19"/>
        <x14:slicerCache r:id="rId20"/>
        <x14:slicerCache r:id="rId21"/>
        <x14:slicerCache r:id="rId22"/>
        <x14:slicerCache r:id="rId23"/>
        <x14:slicerCache r:id="rId24"/>
        <x14:slicerCache r:id="rId25"/>
        <x14:slicerCache r:id="rId26"/>
        <x14:slicerCache r:id="rId27"/>
        <x14:slicerCache r:id="rId28"/>
        <x14:slicerCache r:id="rId29"/>
        <x14:slicerCache r:id="rId30"/>
        <x14:slicerCache r:id="rId31"/>
        <x14:slicerCache r:id="rId32"/>
        <x14:slicerCache r:id="rId33"/>
        <x14:slicerCache r:id="rId34"/>
        <x14:slicerCache r:id="rId35"/>
        <x14:slicerCache r:id="rId36"/>
        <x14:slicerCache r:id="rId37"/>
        <x14:slicerCache r:id="rId38"/>
        <x14:slicerCache r:id="rId39"/>
        <x14:slicerCache r:id="rId40"/>
        <x14:slicerCache r:id="rId41"/>
        <x14:slicerCache r:id="rId42"/>
        <x14:slicerCache r:id="rId43"/>
        <x14:slicerCache r:id="rId44"/>
        <x14:slicerCache r:id="rId45"/>
        <x14:slicerCache r:id="rId46"/>
        <x14:slicerCache r:id="rId47"/>
        <x14:slicerCache r:id="rId48"/>
        <x14:slicerCache r:id="rId49"/>
        <x14:slicerCache r:id="rId50"/>
        <x14:slicerCache r:id="rId51"/>
        <x14:slicerCache r:id="rId52"/>
        <x14:slicerCache r:id="rId53"/>
        <x14:slicerCache r:id="rId54"/>
        <x14:slicerCache r:id="rId55"/>
        <x14:slicerCache r:id="rId56"/>
        <x14:slicerCache r:id="rId57"/>
        <x14:slicerCache r:id="rId58"/>
        <x14:slicerCache r:id="rId59"/>
        <x14:slicerCache r:id="rId60"/>
        <x14:slicerCache r:id="rId61"/>
        <x14:slicerCache r:id="rId62"/>
        <x14:slicerCache r:id="rId63"/>
        <x14:slicerCache r:id="rId64"/>
        <x14:slicerCache r:id="rId65"/>
        <x14:slicerCache r:id="rId66"/>
        <x14:slicerCache r:id="rId67"/>
        <x14:slicerCache r:id="rId68"/>
        <x14:slicerCache r:id="rId69"/>
        <x14:slicerCache r:id="rId70"/>
        <x14:slicerCache r:id="rId71"/>
        <x14:slicerCache r:id="rId72"/>
        <x14:slicerCache r:id="rId73"/>
        <x14:slicerCache r:id="rId74"/>
        <x14:slicerCache r:id="rId75"/>
        <x14:slicerCache r:id="rId76"/>
        <x14:slicerCache r:id="rId77"/>
        <x14:slicerCache r:id="rId78"/>
        <x14:slicerCache r:id="rId79"/>
        <x14:slicerCache r:id="rId80"/>
        <x14:slicerCache r:id="rId81"/>
        <x14:slicerCache r:id="rId82"/>
        <x14:slicerCache r:id="rId83"/>
        <x14:slicerCache r:id="rId84"/>
        <x14:slicerCache r:id="rId85"/>
        <x14:slicerCache r:id="rId86"/>
        <x14:slicerCache r:id="rId87"/>
        <x14:slicerCache r:id="rId88"/>
        <x14:slicerCache r:id="rId89"/>
        <x14:slicerCache r:id="rId90"/>
        <x14:slicerCache r:id="rId91"/>
        <x14:slicerCache r:id="rId92"/>
        <x14:slicerCache r:id="rId93"/>
        <x14:slicerCache r:id="rId94"/>
        <x14:slicerCache r:id="rId95"/>
        <x14:slicerCache r:id="rId96"/>
        <x14:slicerCache r:id="rId97"/>
        <x14:slicerCache r:id="rId98"/>
        <x14:slicerCache r:id="rId99"/>
        <x14:slicerCache r:id="rId100"/>
        <x14:slicerCache r:id="rId101"/>
        <x14:slicerCache r:id="rId102"/>
        <x14:slicerCache r:id="rId103"/>
        <x14:slicerCache r:id="rId104"/>
        <x14:slicerCache r:id="rId105"/>
        <x14:slicerCache r:id="rId106"/>
        <x14:slicerCache r:id="rId107"/>
        <x14:slicerCache r:id="rId108"/>
        <x14:slicerCache r:id="rId109"/>
        <x14:slicerCache r:id="rId110"/>
        <x14:slicerCache r:id="rId111"/>
        <x14:slicerCache r:id="rId112"/>
        <x14:slicerCache r:id="rId113"/>
        <x14:slicerCache r:id="rId114"/>
        <x14:slicerCache r:id="rId115"/>
        <x14:slicerCache r:id="rId116"/>
        <x14:slicerCache r:id="rId117"/>
        <x14:slicerCache r:id="rId118"/>
        <x14:slicerCache r:id="rId119"/>
        <x14:slicerCache r:id="rId120"/>
        <x14:slicerCache r:id="rId121"/>
        <x14:slicerCache r:id="rId122"/>
        <x14:slicerCache r:id="rId123"/>
        <x14:slicerCache r:id="rId124"/>
        <x14:slicerCache r:id="rId125"/>
        <x14:slicerCache r:id="rId126"/>
        <x14:slicerCache r:id="rId127"/>
        <x14:slicerCache r:id="rId128"/>
        <x14:slicerCache r:id="rId129"/>
        <x14:slicerCache r:id="rId130"/>
        <x14:slicerCache r:id="rId131"/>
        <x14:slicerCache r:id="rId132"/>
        <x14:slicerCache r:id="rId133"/>
        <x14:slicerCache r:id="rId134"/>
        <x14:slicerCache r:id="rId135"/>
        <x14:slicerCache r:id="rId136"/>
        <x14:slicerCache r:id="rId137"/>
        <x14:slicerCache r:id="rId138"/>
        <x14:slicerCache r:id="rId139"/>
        <x14:slicerCache r:id="rId140"/>
        <x14:slicerCache r:id="rId141"/>
        <x14:slicerCache r:id="rId142"/>
        <x14:slicerCache r:id="rId143"/>
        <x14:slicerCache r:id="rId144"/>
        <x14:slicerCache r:id="rId145"/>
        <x14:slicerCache r:id="rId146"/>
        <x14:slicerCache r:id="rId147"/>
        <x14:slicerCache r:id="rId148"/>
        <x14:slicerCache r:id="rId149"/>
        <x14:slicerCache r:id="rId150"/>
        <x14:slicerCache r:id="rId151"/>
        <x14:slicerCache r:id="rId152"/>
        <x14:slicerCache r:id="rId153"/>
        <x14:slicerCache r:id="rId154"/>
        <x14:slicerCache r:id="rId155"/>
        <x14:slicerCache r:id="rId156"/>
        <x14:slicerCache r:id="rId157"/>
        <x14:slicerCache r:id="rId158"/>
        <x14:slicerCache r:id="rId159"/>
        <x14:slicerCache r:id="rId160"/>
        <x14:slicerCache r:id="rId161"/>
        <x14:slicerCache r:id="rId162"/>
        <x14:slicerCache r:id="rId163"/>
        <x14:slicerCache r:id="rId164"/>
        <x14:slicerCache r:id="rId165"/>
        <x14:slicerCache r:id="rId166"/>
        <x14:slicerCache r:id="rId167"/>
        <x14:slicerCache r:id="rId168"/>
        <x14:slicerCache r:id="rId169"/>
        <x14:slicerCache r:id="rId170"/>
        <x14:slicerCache r:id="rId171"/>
        <x14:slicerCache r:id="rId172"/>
        <x14:slicerCache r:id="rId173"/>
        <x14:slicerCache r:id="rId174"/>
        <x14:slicerCache r:id="rId175"/>
        <x14:slicerCache r:id="rId176"/>
        <x14:slicerCache r:id="rId177"/>
        <x14:slicerCache r:id="rId178"/>
        <x14:slicerCache r:id="rId179"/>
        <x14:slicerCache r:id="rId180"/>
        <x14:slicerCache r:id="rId181"/>
        <x14:slicerCache r:id="rId182"/>
        <x14:slicerCache r:id="rId183"/>
        <x14:slicerCache r:id="rId184"/>
        <x14:slicerCache r:id="rId185"/>
        <x14:slicerCache r:id="rId186"/>
        <x14:slicerCache r:id="rId187"/>
        <x14:slicerCache r:id="rId188"/>
        <x14:slicerCache r:id="rId189"/>
        <x14:slicerCache r:id="rId190"/>
        <x14:slicerCache r:id="rId191"/>
        <x14:slicerCache r:id="rId192"/>
        <x14:slicerCache r:id="rId193"/>
        <x14:slicerCache r:id="rId194"/>
      </x15:slicerCache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Student_Information" name="Student_Information" connection="WorksheetConnection_211-16-560.xlsx!Student_Information"/>
          <x15:modelTable id="Introduction" name="Introduction" connection="WorksheetConnection_211-16-560.xlsx!Introduction"/>
          <x15:modelTable id="First_Semester_Mathematics" name="First_Semester_Mathematics" connection="WorksheetConnection_211-16-560.xlsx!First_Semester_Mathematics"/>
          <x15:modelTable id="First_Semester_Information_Systems_Engineering" name="First_Semester_Information_Systems_Engineering" connection="WorksheetConnection_211-16-560.xlsx!First_Semester_Information_Systems_Engineering"/>
          <x15:modelTable id="First_Semester_English_I" name="First_Semester_English_I" connection="WorksheetConnection_211-16-560.xlsx!First_Semester_English_I"/>
          <x15:modelTable id="First_Semester_Computer_Fundamentals" name="First_Semester_Computer_Fundamentals" connection="WorksheetConnection_211-16-560.xlsx!First_Semester_Computer_Fundamentals"/>
          <x15:modelTable id="First_Semester_CGPA" name="First_Semester_CGPA" connection="WorksheetConnection_211-16-560.xlsx!First_Semester_CGPA"/>
          <x15:modelTable id="Employee_Information" name="Employee_Information" connection="WorksheetConnection_211-16-560.xlsx!Employee_Information"/>
          <x15:modelTable id="Employee_Calculate_Salary" name="Employee_Calculate_Salary" connection="WorksheetConnection_211-16-560.xlsx!Employee_Calculate_Salary"/>
          <x15:modelTable id="Cover_Page" name="Cover_Page" connection="WorksheetConnection_211-16-560.xlsx!Cover_Page"/>
          <x15:modelTable id="Basic_Knowledge" name="Basic_Knowledge" connection="WorksheetConnection_211-16-560.xlsx!Basic_Knowledge"/>
          <x15:modelTable id="Second_Semester_SGPA" name="Second_Semester_SGPA" connection="WorksheetConnection_211-16-560.xlsx!Second_Semester_SGPA"/>
          <x15:modelTable id="Second_Semester_English_II" name="Second_Semester_English_II" connection="WorksheetConnection_211-16-560.xlsx!Second_Semester_English_II"/>
          <x15:modelTable id="Second_Semester_Structured_Programming" name="Second_Semester_Structured_Programming" connection="WorksheetConnection_211-16-560.xlsx!Second_Semester_Structured_Programming"/>
          <x15:modelTable id="Second_Semester_Fundamental_Website_Development" name="Second_Semester_Fundamental_Website_Development" connection="WorksheetConnection_211-16-560.xlsx!Second_Semester_Fundamental_Website_Development"/>
          <x15:modelTable id="Second_Semester_Structured_Programming_Lab" name="Second_Semester_Structured_Programming_Lab" connection="WorksheetConnection_211-16-560.xlsx!Second_Semester_Structured_Programming_Lab"/>
          <x15:modelTable id="Second_Semester_Fundamental_Website_Development_Lab" name="Second_Semester_Fundamental_Website_Development_Lab" connection="WorksheetConnection_211-16-560.xlsx!Second_Semester_Fundamental_Website_Development_Lab"/>
          <x15:modelTable id="Third_Semester_SGPA" name="Third_Semester_SGPA" connection="WorksheetConnection_211-16-560.xlsx!Third_Semester_SGPA"/>
          <x15:modelTable id="Third_Semester_Study_and_Communication_Skills" name="Third_Semester_Study_and_Communication_Skills" connection="WorksheetConnection_211-16-560.xlsx!Third_Semester_Study_and_Communication_Skills"/>
          <x15:modelTable id="Third_Semester_Data_Structure" name="Third_Semester_Data_Structure" connection="WorksheetConnection_211-16-560.xlsx!Third_Semester_Data_Structure"/>
          <x15:modelTable id="Third_Semester_Computer_Network" name="Third_Semester_Computer_Network" connection="WorksheetConnection_211-16-560.xlsx!Third_Semester_Computer_Network"/>
          <x15:modelTable id="Third_Semester_Data_Structure_Lab" name="Third_Semester_Data_Structure_Lab" connection="WorksheetConnection_211-16-560.xlsx!Third_Semester_Data_Structure_Lab"/>
          <x15:modelTable id="Third_Semester_Computer_Network_Lab" name="Third_Semester_Computer_Network_Lab" connection="WorksheetConnection_211-16-560.xlsx!Third_Semester_Computer_Network_Lab"/>
          <x15:modelTable id="Third_Semester_Discrete_Mathematics" name="Third_Semester_Discrete_Mathematics" connection="WorksheetConnection_211-16-560.xlsx!Third_Semester_Discrete_Mathematics"/>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L2" i="9" l="1"/>
  <c r="L3" i="9"/>
  <c r="L4" i="9"/>
  <c r="L5" i="9"/>
  <c r="L6" i="9"/>
  <c r="L7" i="9"/>
  <c r="L9" i="9"/>
  <c r="L10" i="9"/>
  <c r="L11" i="9"/>
  <c r="L12" i="9"/>
  <c r="L13" i="9"/>
  <c r="L15" i="9"/>
  <c r="L16" i="9"/>
  <c r="L17" i="9"/>
  <c r="L18" i="9"/>
  <c r="L20" i="9"/>
  <c r="L21" i="9"/>
  <c r="L22" i="9"/>
  <c r="L23" i="9"/>
  <c r="L24" i="9"/>
  <c r="L25" i="9"/>
  <c r="L26" i="9"/>
  <c r="L27" i="9"/>
  <c r="L28" i="9"/>
  <c r="L29" i="9"/>
  <c r="K2" i="9"/>
  <c r="K3" i="9"/>
  <c r="K4" i="9"/>
  <c r="K5" i="9"/>
  <c r="K6" i="9"/>
  <c r="K7" i="9"/>
  <c r="K9" i="9"/>
  <c r="K10" i="9"/>
  <c r="K11" i="9"/>
  <c r="K12" i="9"/>
  <c r="K13" i="9"/>
  <c r="K15" i="9"/>
  <c r="K16" i="9"/>
  <c r="K17" i="9"/>
  <c r="K18" i="9"/>
  <c r="K20" i="9"/>
  <c r="K21" i="9"/>
  <c r="K22" i="9"/>
  <c r="K23" i="9"/>
  <c r="K24" i="9"/>
  <c r="K25" i="9"/>
  <c r="K26" i="9"/>
  <c r="K27" i="9"/>
  <c r="K28" i="9"/>
  <c r="K29" i="9"/>
  <c r="J2" i="9"/>
  <c r="J3" i="9"/>
  <c r="J4" i="9"/>
  <c r="J5" i="9"/>
  <c r="J6" i="9"/>
  <c r="J7" i="9"/>
  <c r="J9" i="9"/>
  <c r="J10" i="9"/>
  <c r="J11" i="9"/>
  <c r="J12" i="9"/>
  <c r="J13" i="9"/>
  <c r="J15" i="9"/>
  <c r="J16" i="9"/>
  <c r="J17" i="9"/>
  <c r="J18" i="9"/>
  <c r="J20" i="9"/>
  <c r="J21" i="9"/>
  <c r="J22" i="9"/>
  <c r="J23" i="9"/>
  <c r="J24" i="9"/>
  <c r="J25" i="9"/>
  <c r="J26" i="9"/>
  <c r="J27" i="9"/>
  <c r="J28" i="9"/>
  <c r="J29" i="9"/>
  <c r="I2" i="9"/>
  <c r="I3" i="9"/>
  <c r="I4" i="9"/>
  <c r="I5" i="9"/>
  <c r="I6" i="9"/>
  <c r="I7" i="9"/>
  <c r="I9" i="9"/>
  <c r="I10" i="9"/>
  <c r="I11" i="9"/>
  <c r="I12" i="9"/>
  <c r="I13" i="9"/>
  <c r="I15" i="9"/>
  <c r="I16" i="9"/>
  <c r="I17" i="9"/>
  <c r="I18" i="9"/>
  <c r="I20" i="9"/>
  <c r="I21" i="9"/>
  <c r="I22" i="9"/>
  <c r="I23" i="9"/>
  <c r="I24" i="9"/>
  <c r="I25" i="9"/>
  <c r="I26" i="9"/>
  <c r="I27" i="9"/>
  <c r="I28" i="9"/>
  <c r="I29" i="9"/>
  <c r="N17" i="18"/>
  <c r="N18" i="18"/>
  <c r="N19" i="18"/>
  <c r="N20" i="18"/>
  <c r="N21" i="18"/>
  <c r="N22" i="18"/>
  <c r="N24" i="18"/>
  <c r="N25" i="18"/>
  <c r="N26" i="18"/>
  <c r="N27" i="18"/>
  <c r="N28" i="18"/>
  <c r="N30" i="18"/>
  <c r="N31" i="18"/>
  <c r="N32" i="18"/>
  <c r="N33" i="18"/>
  <c r="N35" i="18"/>
  <c r="N36" i="18"/>
  <c r="N37" i="18"/>
  <c r="N38" i="18"/>
  <c r="N39" i="18"/>
  <c r="N40" i="18"/>
  <c r="N41" i="18"/>
  <c r="N42" i="18"/>
  <c r="N43" i="18"/>
  <c r="N44" i="18"/>
  <c r="L17" i="18"/>
  <c r="L18" i="18"/>
  <c r="L19" i="18"/>
  <c r="L20" i="18"/>
  <c r="L21" i="18"/>
  <c r="L22" i="18"/>
  <c r="L24" i="18"/>
  <c r="L25" i="18"/>
  <c r="L26" i="18"/>
  <c r="L27" i="18"/>
  <c r="L28" i="18"/>
  <c r="L30" i="18"/>
  <c r="L31" i="18"/>
  <c r="L32" i="18"/>
  <c r="L33" i="18"/>
  <c r="L35" i="18"/>
  <c r="L36" i="18"/>
  <c r="L37" i="18"/>
  <c r="L38" i="18"/>
  <c r="L39" i="18"/>
  <c r="L40" i="18"/>
  <c r="L41" i="18"/>
  <c r="L42" i="18"/>
  <c r="L43" i="18"/>
  <c r="L44" i="18"/>
  <c r="Q17" i="21"/>
  <c r="Q18" i="21"/>
  <c r="Q19" i="21"/>
  <c r="Q20" i="21"/>
  <c r="Q21" i="21"/>
  <c r="Q22" i="21"/>
  <c r="Q24" i="21"/>
  <c r="Q25" i="21"/>
  <c r="Q26" i="21"/>
  <c r="Q27" i="21"/>
  <c r="Q28" i="21"/>
  <c r="Q30" i="21"/>
  <c r="Q31" i="21"/>
  <c r="Q32" i="21"/>
  <c r="Q33" i="21"/>
  <c r="Q35" i="21"/>
  <c r="Q36" i="21"/>
  <c r="Q37" i="21"/>
  <c r="Q38" i="21"/>
  <c r="Q39" i="21"/>
  <c r="Q40" i="21"/>
  <c r="Q41" i="21"/>
  <c r="Q42" i="21"/>
  <c r="Q43" i="21"/>
  <c r="Q44" i="21"/>
  <c r="O17" i="21"/>
  <c r="O18" i="21"/>
  <c r="O19" i="21"/>
  <c r="O20" i="21"/>
  <c r="O21" i="21"/>
  <c r="O22" i="21"/>
  <c r="O24" i="21"/>
  <c r="O25" i="21"/>
  <c r="O26" i="21"/>
  <c r="O27" i="21"/>
  <c r="O28" i="21"/>
  <c r="O30" i="21"/>
  <c r="O31" i="21"/>
  <c r="O32" i="21"/>
  <c r="O33" i="21"/>
  <c r="O35" i="21"/>
  <c r="O36" i="21"/>
  <c r="O37" i="21"/>
  <c r="O38" i="21"/>
  <c r="O39" i="21"/>
  <c r="O40" i="21"/>
  <c r="O41" i="21"/>
  <c r="O42" i="21"/>
  <c r="O43" i="21"/>
  <c r="O44" i="21"/>
  <c r="W17" i="20"/>
  <c r="W18" i="20"/>
  <c r="W19" i="20"/>
  <c r="W20" i="20"/>
  <c r="W21" i="20"/>
  <c r="W22" i="20"/>
  <c r="W24" i="20"/>
  <c r="W25" i="20"/>
  <c r="W26" i="20"/>
  <c r="W27" i="20"/>
  <c r="W28" i="20"/>
  <c r="W30" i="20"/>
  <c r="W31" i="20"/>
  <c r="W32" i="20"/>
  <c r="W33" i="20"/>
  <c r="W35" i="20"/>
  <c r="W36" i="20"/>
  <c r="W37" i="20"/>
  <c r="W38" i="20"/>
  <c r="W39" i="20"/>
  <c r="W40" i="20"/>
  <c r="W41" i="20"/>
  <c r="W42" i="20"/>
  <c r="W43" i="20"/>
  <c r="W44" i="20"/>
  <c r="U17" i="20"/>
  <c r="U18" i="20"/>
  <c r="U19" i="20"/>
  <c r="U20" i="20"/>
  <c r="U21" i="20"/>
  <c r="U22" i="20"/>
  <c r="U24" i="20"/>
  <c r="U25" i="20"/>
  <c r="U26" i="20"/>
  <c r="U27" i="20"/>
  <c r="U28" i="20"/>
  <c r="U30" i="20"/>
  <c r="U31" i="20"/>
  <c r="U32" i="20"/>
  <c r="U33" i="20"/>
  <c r="U35" i="20"/>
  <c r="U36" i="20"/>
  <c r="U37" i="20"/>
  <c r="U38" i="20"/>
  <c r="U39" i="20"/>
  <c r="U40" i="20"/>
  <c r="U41" i="20"/>
  <c r="U42" i="20"/>
  <c r="U43" i="20"/>
  <c r="U44" i="20"/>
  <c r="T17" i="15"/>
  <c r="T18" i="15"/>
  <c r="T19" i="15"/>
  <c r="T20" i="15"/>
  <c r="T21" i="15"/>
  <c r="T22" i="15"/>
  <c r="T24" i="15"/>
  <c r="T25" i="15"/>
  <c r="T26" i="15"/>
  <c r="T27" i="15"/>
  <c r="T28" i="15"/>
  <c r="T30" i="15"/>
  <c r="T31" i="15"/>
  <c r="T32" i="15"/>
  <c r="T33" i="15"/>
  <c r="T35" i="15"/>
  <c r="T36" i="15"/>
  <c r="T37" i="15"/>
  <c r="T38" i="15"/>
  <c r="T39" i="15"/>
  <c r="T40" i="15"/>
  <c r="T41" i="15"/>
  <c r="T42" i="15"/>
  <c r="T43" i="15"/>
  <c r="T44" i="15"/>
  <c r="R17" i="15"/>
  <c r="R18" i="15"/>
  <c r="R19" i="15"/>
  <c r="R20" i="15"/>
  <c r="R21" i="15"/>
  <c r="R22" i="15"/>
  <c r="R24" i="15"/>
  <c r="R25" i="15"/>
  <c r="R26" i="15"/>
  <c r="R27" i="15"/>
  <c r="R28" i="15"/>
  <c r="R30" i="15"/>
  <c r="R31" i="15"/>
  <c r="R32" i="15"/>
  <c r="R33" i="15"/>
  <c r="R35" i="15"/>
  <c r="R36" i="15"/>
  <c r="R37" i="15"/>
  <c r="R38" i="15"/>
  <c r="R39" i="15"/>
  <c r="R40" i="15"/>
  <c r="R41" i="15"/>
  <c r="R42" i="15"/>
  <c r="R43" i="15"/>
  <c r="R44" i="15"/>
  <c r="Q5" i="9"/>
  <c r="Q20" i="9"/>
  <c r="M17" i="18"/>
  <c r="Q2" i="9" s="1"/>
  <c r="M18" i="18"/>
  <c r="Q3" i="9" s="1"/>
  <c r="M19" i="18"/>
  <c r="Q4" i="9" s="1"/>
  <c r="M20" i="18"/>
  <c r="M21" i="18"/>
  <c r="Q6" i="9" s="1"/>
  <c r="M22" i="18"/>
  <c r="Q7" i="9" s="1"/>
  <c r="M24" i="18"/>
  <c r="Q9" i="9" s="1"/>
  <c r="M25" i="18"/>
  <c r="Q10" i="9" s="1"/>
  <c r="M26" i="18"/>
  <c r="Q11" i="9" s="1"/>
  <c r="M27" i="18"/>
  <c r="Q12" i="9" s="1"/>
  <c r="M28" i="18"/>
  <c r="Q13" i="9" s="1"/>
  <c r="M30" i="18"/>
  <c r="Q15" i="9" s="1"/>
  <c r="M31" i="18"/>
  <c r="Q16" i="9" s="1"/>
  <c r="M32" i="18"/>
  <c r="Q17" i="9" s="1"/>
  <c r="M33" i="18"/>
  <c r="Q18" i="9" s="1"/>
  <c r="M35" i="18"/>
  <c r="M36" i="18"/>
  <c r="Q21" i="9" s="1"/>
  <c r="M37" i="18"/>
  <c r="Q22" i="9" s="1"/>
  <c r="M38" i="18"/>
  <c r="Q23" i="9" s="1"/>
  <c r="M39" i="18"/>
  <c r="Q24" i="9" s="1"/>
  <c r="M40" i="18"/>
  <c r="Q25" i="9" s="1"/>
  <c r="M41" i="18"/>
  <c r="Q26" i="9" s="1"/>
  <c r="M42" i="18"/>
  <c r="Q27" i="9" s="1"/>
  <c r="M43" i="18"/>
  <c r="Q28" i="9" s="1"/>
  <c r="M44" i="18"/>
  <c r="Q29" i="9" s="1"/>
  <c r="P3" i="9"/>
  <c r="P17" i="9"/>
  <c r="O4" i="9"/>
  <c r="O18" i="9"/>
  <c r="N2" i="9"/>
  <c r="N5" i="9"/>
  <c r="N10" i="9"/>
  <c r="N16" i="9"/>
  <c r="N20" i="9"/>
  <c r="N24" i="9"/>
  <c r="N29" i="9"/>
  <c r="P18" i="21"/>
  <c r="P19" i="21"/>
  <c r="P4" i="9" s="1"/>
  <c r="P20" i="21"/>
  <c r="P5" i="9" s="1"/>
  <c r="P21" i="21"/>
  <c r="P6" i="9" s="1"/>
  <c r="P22" i="21"/>
  <c r="P7" i="9" s="1"/>
  <c r="P24" i="21"/>
  <c r="P9" i="9" s="1"/>
  <c r="P25" i="21"/>
  <c r="P10" i="9" s="1"/>
  <c r="P26" i="21"/>
  <c r="P11" i="9" s="1"/>
  <c r="P27" i="21"/>
  <c r="P12" i="9" s="1"/>
  <c r="P28" i="21"/>
  <c r="P13" i="9" s="1"/>
  <c r="P30" i="21"/>
  <c r="P15" i="9" s="1"/>
  <c r="P31" i="21"/>
  <c r="P16" i="9" s="1"/>
  <c r="P32" i="21"/>
  <c r="P33" i="21"/>
  <c r="P18" i="9" s="1"/>
  <c r="P35" i="21"/>
  <c r="P20" i="9" s="1"/>
  <c r="P36" i="21"/>
  <c r="P21" i="9" s="1"/>
  <c r="P37" i="21"/>
  <c r="P22" i="9" s="1"/>
  <c r="P38" i="21"/>
  <c r="P23" i="9" s="1"/>
  <c r="P39" i="21"/>
  <c r="P24" i="9" s="1"/>
  <c r="P40" i="21"/>
  <c r="P25" i="9" s="1"/>
  <c r="P41" i="21"/>
  <c r="P26" i="9" s="1"/>
  <c r="P42" i="21"/>
  <c r="P27" i="9" s="1"/>
  <c r="P43" i="21"/>
  <c r="P28" i="9" s="1"/>
  <c r="P44" i="21"/>
  <c r="P29" i="9" s="1"/>
  <c r="P17" i="21"/>
  <c r="P2" i="9" s="1"/>
  <c r="V17" i="20"/>
  <c r="O2" i="9" s="1"/>
  <c r="V18" i="20"/>
  <c r="O3" i="9" s="1"/>
  <c r="V19" i="20"/>
  <c r="V20" i="20"/>
  <c r="O5" i="9" s="1"/>
  <c r="V21" i="20"/>
  <c r="O6" i="9" s="1"/>
  <c r="V22" i="20"/>
  <c r="O7" i="9" s="1"/>
  <c r="V24" i="20"/>
  <c r="O9" i="9" s="1"/>
  <c r="V25" i="20"/>
  <c r="O10" i="9" s="1"/>
  <c r="V26" i="20"/>
  <c r="O11" i="9" s="1"/>
  <c r="V27" i="20"/>
  <c r="O12" i="9" s="1"/>
  <c r="V28" i="20"/>
  <c r="O13" i="9" s="1"/>
  <c r="V30" i="20"/>
  <c r="O15" i="9" s="1"/>
  <c r="V31" i="20"/>
  <c r="O16" i="9" s="1"/>
  <c r="V32" i="20"/>
  <c r="O17" i="9" s="1"/>
  <c r="V33" i="20"/>
  <c r="V35" i="20"/>
  <c r="O20" i="9" s="1"/>
  <c r="V36" i="20"/>
  <c r="O21" i="9" s="1"/>
  <c r="V37" i="20"/>
  <c r="O22" i="9" s="1"/>
  <c r="V38" i="20"/>
  <c r="O23" i="9" s="1"/>
  <c r="V39" i="20"/>
  <c r="O24" i="9" s="1"/>
  <c r="V40" i="20"/>
  <c r="O25" i="9" s="1"/>
  <c r="V41" i="20"/>
  <c r="O26" i="9" s="1"/>
  <c r="V42" i="20"/>
  <c r="O27" i="9" s="1"/>
  <c r="V43" i="20"/>
  <c r="O28" i="9" s="1"/>
  <c r="V44" i="20"/>
  <c r="O29" i="9" s="1"/>
  <c r="O310" i="20"/>
  <c r="P310" i="20" s="1"/>
  <c r="O322" i="20"/>
  <c r="P322" i="20" s="1"/>
  <c r="O323" i="20"/>
  <c r="P323" i="20" s="1"/>
  <c r="O299" i="20"/>
  <c r="P299" i="20" s="1"/>
  <c r="F322" i="20"/>
  <c r="G322" i="20" s="1"/>
  <c r="F302" i="20"/>
  <c r="G302" i="20" s="1"/>
  <c r="F303" i="20"/>
  <c r="G303" i="20" s="1"/>
  <c r="F304" i="20"/>
  <c r="G304" i="20" s="1"/>
  <c r="F312" i="20"/>
  <c r="G312" i="20" s="1"/>
  <c r="F314" i="20"/>
  <c r="G314" i="20" s="1"/>
  <c r="F315" i="20"/>
  <c r="G315" i="20" s="1"/>
  <c r="F317" i="20"/>
  <c r="G317" i="20" s="1"/>
  <c r="F323" i="20"/>
  <c r="G323" i="20" s="1"/>
  <c r="F324" i="20"/>
  <c r="G324" i="20" s="1"/>
  <c r="F326" i="20"/>
  <c r="G326" i="20" s="1"/>
  <c r="F299" i="20"/>
  <c r="G299" i="20" s="1"/>
  <c r="O307" i="20"/>
  <c r="P307" i="20" s="1"/>
  <c r="O308" i="20"/>
  <c r="P308" i="20" s="1"/>
  <c r="O314" i="20"/>
  <c r="P314" i="20" s="1"/>
  <c r="O320" i="20"/>
  <c r="P320" i="20" s="1"/>
  <c r="O324" i="20"/>
  <c r="P324" i="20" s="1"/>
  <c r="O325" i="20"/>
  <c r="P325" i="20" s="1"/>
  <c r="O326" i="20"/>
  <c r="P326" i="20" s="1"/>
  <c r="K326" i="20"/>
  <c r="L326" i="20" s="1"/>
  <c r="K325" i="20"/>
  <c r="L325" i="20" s="1"/>
  <c r="K324" i="20"/>
  <c r="L324" i="20" s="1"/>
  <c r="K323" i="20"/>
  <c r="L323" i="20" s="1"/>
  <c r="K322" i="20"/>
  <c r="L322" i="20" s="1"/>
  <c r="O321" i="20"/>
  <c r="P321" i="20" s="1"/>
  <c r="K321" i="20"/>
  <c r="L321" i="20" s="1"/>
  <c r="K320" i="20"/>
  <c r="L320" i="20" s="1"/>
  <c r="F320" i="20"/>
  <c r="G320" i="20" s="1"/>
  <c r="O319" i="20"/>
  <c r="P319" i="20" s="1"/>
  <c r="K319" i="20"/>
  <c r="L319" i="20" s="1"/>
  <c r="F319" i="20"/>
  <c r="G319" i="20" s="1"/>
  <c r="O318" i="20"/>
  <c r="P318" i="20" s="1"/>
  <c r="K318" i="20"/>
  <c r="L318" i="20" s="1"/>
  <c r="F318" i="20"/>
  <c r="G318" i="20" s="1"/>
  <c r="O317" i="20"/>
  <c r="P317" i="20" s="1"/>
  <c r="K317" i="20"/>
  <c r="L317" i="20" s="1"/>
  <c r="O315" i="20"/>
  <c r="P315" i="20" s="1"/>
  <c r="K315" i="20"/>
  <c r="L315" i="20" s="1"/>
  <c r="K314" i="20"/>
  <c r="L314" i="20" s="1"/>
  <c r="O313" i="20"/>
  <c r="P313" i="20" s="1"/>
  <c r="K313" i="20"/>
  <c r="L313" i="20" s="1"/>
  <c r="F313" i="20"/>
  <c r="G313" i="20" s="1"/>
  <c r="O312" i="20"/>
  <c r="P312" i="20" s="1"/>
  <c r="K312" i="20"/>
  <c r="L312" i="20" s="1"/>
  <c r="K310" i="20"/>
  <c r="L310" i="20" s="1"/>
  <c r="O309" i="20"/>
  <c r="P309" i="20" s="1"/>
  <c r="K309" i="20"/>
  <c r="L309" i="20" s="1"/>
  <c r="K308" i="20"/>
  <c r="L308" i="20" s="1"/>
  <c r="F308" i="20"/>
  <c r="G308" i="20" s="1"/>
  <c r="K307" i="20"/>
  <c r="L307" i="20" s="1"/>
  <c r="F307" i="20"/>
  <c r="G307" i="20" s="1"/>
  <c r="O306" i="20"/>
  <c r="P306" i="20" s="1"/>
  <c r="K306" i="20"/>
  <c r="L306" i="20" s="1"/>
  <c r="F306" i="20"/>
  <c r="G306" i="20" s="1"/>
  <c r="O304" i="20"/>
  <c r="P304" i="20" s="1"/>
  <c r="K304" i="20"/>
  <c r="L304" i="20" s="1"/>
  <c r="O303" i="20"/>
  <c r="P303" i="20" s="1"/>
  <c r="K303" i="20"/>
  <c r="L303" i="20" s="1"/>
  <c r="O302" i="20"/>
  <c r="P302" i="20" s="1"/>
  <c r="K302" i="20"/>
  <c r="L302" i="20" s="1"/>
  <c r="O301" i="20"/>
  <c r="P301" i="20" s="1"/>
  <c r="K301" i="20"/>
  <c r="L301" i="20" s="1"/>
  <c r="F301" i="20"/>
  <c r="G301" i="20" s="1"/>
  <c r="O300" i="20"/>
  <c r="P300" i="20" s="1"/>
  <c r="K300" i="20"/>
  <c r="L300" i="20" s="1"/>
  <c r="F300" i="20"/>
  <c r="G300" i="20" s="1"/>
  <c r="K299" i="20"/>
  <c r="L299" i="20" s="1"/>
  <c r="P17" i="14"/>
  <c r="M2" i="9" s="1"/>
  <c r="C2" i="11"/>
  <c r="C3" i="11"/>
  <c r="C4" i="11"/>
  <c r="C5" i="11"/>
  <c r="C6" i="11"/>
  <c r="C7" i="11"/>
  <c r="C9" i="11"/>
  <c r="C10" i="11"/>
  <c r="C11" i="11"/>
  <c r="C12" i="11"/>
  <c r="C13" i="11"/>
  <c r="C15" i="11"/>
  <c r="C16" i="11"/>
  <c r="C17" i="11"/>
  <c r="C18" i="11"/>
  <c r="C20" i="11"/>
  <c r="C21" i="11"/>
  <c r="C22" i="11"/>
  <c r="C23" i="11"/>
  <c r="C24" i="11"/>
  <c r="C25" i="11"/>
  <c r="C26" i="11"/>
  <c r="C27" i="11"/>
  <c r="C28" i="11"/>
  <c r="C29" i="11"/>
  <c r="S17" i="15"/>
  <c r="S18" i="15"/>
  <c r="N3" i="9" s="1"/>
  <c r="S19" i="15"/>
  <c r="N4" i="9" s="1"/>
  <c r="S20" i="15"/>
  <c r="S21" i="15"/>
  <c r="N6" i="9" s="1"/>
  <c r="S22" i="15"/>
  <c r="N7" i="9" s="1"/>
  <c r="S24" i="15"/>
  <c r="N9" i="9" s="1"/>
  <c r="S25" i="15"/>
  <c r="S26" i="15"/>
  <c r="N11" i="9" s="1"/>
  <c r="S27" i="15"/>
  <c r="N12" i="9" s="1"/>
  <c r="S28" i="15"/>
  <c r="N13" i="9" s="1"/>
  <c r="S30" i="15"/>
  <c r="N15" i="9" s="1"/>
  <c r="S31" i="15"/>
  <c r="S32" i="15"/>
  <c r="N17" i="9" s="1"/>
  <c r="S33" i="15"/>
  <c r="N18" i="9" s="1"/>
  <c r="S35" i="15"/>
  <c r="S36" i="15"/>
  <c r="N21" i="9" s="1"/>
  <c r="S37" i="15"/>
  <c r="N22" i="9" s="1"/>
  <c r="S38" i="15"/>
  <c r="N23" i="9" s="1"/>
  <c r="S39" i="15"/>
  <c r="S40" i="15"/>
  <c r="N25" i="9" s="1"/>
  <c r="S41" i="15"/>
  <c r="N26" i="9" s="1"/>
  <c r="S42" i="15"/>
  <c r="N27" i="9" s="1"/>
  <c r="S43" i="15"/>
  <c r="N28" i="9" s="1"/>
  <c r="S44" i="15"/>
  <c r="P18" i="14"/>
  <c r="M3" i="9" s="1"/>
  <c r="P19" i="14"/>
  <c r="M4" i="9" s="1"/>
  <c r="P20" i="14"/>
  <c r="M5" i="9" s="1"/>
  <c r="P21" i="14"/>
  <c r="M6" i="9" s="1"/>
  <c r="P22" i="14"/>
  <c r="M7" i="9" s="1"/>
  <c r="P24" i="14"/>
  <c r="M9" i="9" s="1"/>
  <c r="P25" i="14"/>
  <c r="M10" i="9" s="1"/>
  <c r="P26" i="14"/>
  <c r="M11" i="9" s="1"/>
  <c r="P27" i="14"/>
  <c r="M12" i="9" s="1"/>
  <c r="P28" i="14"/>
  <c r="M13" i="9" s="1"/>
  <c r="P30" i="14"/>
  <c r="M15" i="9" s="1"/>
  <c r="P31" i="14"/>
  <c r="M16" i="9" s="1"/>
  <c r="P32" i="14"/>
  <c r="M17" i="9" s="1"/>
  <c r="P33" i="14"/>
  <c r="M18" i="9" s="1"/>
  <c r="P35" i="14"/>
  <c r="M20" i="9" s="1"/>
  <c r="P36" i="14"/>
  <c r="M21" i="9" s="1"/>
  <c r="P37" i="14"/>
  <c r="M22" i="9" s="1"/>
  <c r="P38" i="14"/>
  <c r="M23" i="9" s="1"/>
  <c r="P39" i="14"/>
  <c r="M24" i="9" s="1"/>
  <c r="P40" i="14"/>
  <c r="M25" i="9" s="1"/>
  <c r="P41" i="14"/>
  <c r="M26" i="9" s="1"/>
  <c r="P42" i="14"/>
  <c r="M27" i="9" s="1"/>
  <c r="P43" i="14"/>
  <c r="M28" i="9" s="1"/>
  <c r="P44" i="14"/>
  <c r="M29" i="9" s="1"/>
  <c r="O137" i="18" l="1"/>
  <c r="P137" i="18" s="1"/>
  <c r="O91" i="18"/>
  <c r="P91" i="18" s="1"/>
  <c r="O85" i="18"/>
  <c r="P85" i="18" s="1"/>
  <c r="F64" i="18"/>
  <c r="G64" i="18" s="1"/>
  <c r="K185" i="18"/>
  <c r="L185" i="18" s="1"/>
  <c r="K167" i="18"/>
  <c r="L167" i="18" s="1"/>
  <c r="K178" i="18"/>
  <c r="L178" i="18" s="1"/>
  <c r="K172" i="18"/>
  <c r="L172" i="18" s="1"/>
  <c r="K64" i="18"/>
  <c r="L64" i="18" s="1"/>
  <c r="K129" i="18"/>
  <c r="L129" i="18" s="1"/>
  <c r="F181" i="18"/>
  <c r="G181" i="18" s="1"/>
  <c r="F163" i="18"/>
  <c r="G163" i="18" s="1"/>
  <c r="O69" i="18"/>
  <c r="P69" i="18" s="1"/>
  <c r="K113" i="18"/>
  <c r="L113" i="18" s="1"/>
  <c r="F90" i="18"/>
  <c r="G90" i="18" s="1"/>
  <c r="F178" i="18"/>
  <c r="G178" i="18" s="1"/>
  <c r="F172" i="18"/>
  <c r="G172" i="18" s="1"/>
  <c r="F72" i="18"/>
  <c r="G72" i="18" s="1"/>
  <c r="O135" i="18"/>
  <c r="P135" i="18" s="1"/>
  <c r="O89" i="18"/>
  <c r="P89" i="18" s="1"/>
  <c r="O86" i="18"/>
  <c r="P86" i="18" s="1"/>
  <c r="O84" i="18"/>
  <c r="P84" i="18" s="1"/>
  <c r="K184" i="18"/>
  <c r="L184" i="18" s="1"/>
  <c r="K160" i="18"/>
  <c r="L160" i="18" s="1"/>
  <c r="K72" i="18"/>
  <c r="L72" i="18" s="1"/>
  <c r="K69" i="18"/>
  <c r="L69" i="18" s="1"/>
  <c r="K66" i="18"/>
  <c r="L66" i="18" s="1"/>
  <c r="F160" i="18"/>
  <c r="G160" i="18" s="1"/>
  <c r="F121" i="18"/>
  <c r="G121" i="18" s="1"/>
  <c r="F118" i="18"/>
  <c r="G118" i="18" s="1"/>
  <c r="F115" i="18"/>
  <c r="G115" i="18" s="1"/>
  <c r="F78" i="18"/>
  <c r="G78" i="18" s="1"/>
  <c r="K137" i="18"/>
  <c r="L137" i="18" s="1"/>
  <c r="K119" i="18"/>
  <c r="L119" i="18" s="1"/>
  <c r="K88" i="18"/>
  <c r="L88" i="18" s="1"/>
  <c r="F66" i="18"/>
  <c r="G66" i="18" s="1"/>
  <c r="O114" i="18"/>
  <c r="P114" i="18" s="1"/>
  <c r="F137" i="18"/>
  <c r="G137" i="18" s="1"/>
  <c r="K111" i="18"/>
  <c r="L111" i="18" s="1"/>
  <c r="K166" i="18"/>
  <c r="L166" i="18" s="1"/>
  <c r="O133" i="18"/>
  <c r="P133" i="18" s="1"/>
  <c r="O130" i="18"/>
  <c r="P130" i="18" s="1"/>
  <c r="F111" i="18"/>
  <c r="G111" i="18" s="1"/>
  <c r="O131" i="18"/>
  <c r="P131" i="18" s="1"/>
  <c r="K130" i="18"/>
  <c r="L130" i="18" s="1"/>
  <c r="O125" i="18"/>
  <c r="P125" i="18" s="1"/>
  <c r="K121" i="18"/>
  <c r="L121" i="18" s="1"/>
  <c r="K115" i="18"/>
  <c r="L115" i="18" s="1"/>
  <c r="O79" i="18"/>
  <c r="P79" i="18" s="1"/>
  <c r="K78" i="18"/>
  <c r="L78" i="18" s="1"/>
  <c r="K181" i="18"/>
  <c r="L181" i="18" s="1"/>
  <c r="F133" i="18"/>
  <c r="G133" i="18" s="1"/>
  <c r="K169" i="18"/>
  <c r="L169" i="18" s="1"/>
  <c r="F166" i="18"/>
  <c r="G166" i="18" s="1"/>
  <c r="O134" i="18"/>
  <c r="P134" i="18" s="1"/>
  <c r="F129" i="18"/>
  <c r="G129" i="18" s="1"/>
  <c r="O118" i="18"/>
  <c r="P118" i="18" s="1"/>
  <c r="O115" i="18"/>
  <c r="P115" i="18" s="1"/>
  <c r="K114" i="18"/>
  <c r="L114" i="18" s="1"/>
  <c r="F91" i="18"/>
  <c r="G91" i="18" s="1"/>
  <c r="K161" i="18"/>
  <c r="L161" i="18" s="1"/>
  <c r="F158" i="18"/>
  <c r="G158" i="18" s="1"/>
  <c r="F127" i="18"/>
  <c r="G127" i="18" s="1"/>
  <c r="O112" i="18"/>
  <c r="P112" i="18" s="1"/>
  <c r="F79" i="18"/>
  <c r="G79" i="18" s="1"/>
  <c r="K176" i="18"/>
  <c r="L176" i="18" s="1"/>
  <c r="F169" i="18"/>
  <c r="G169" i="18" s="1"/>
  <c r="K134" i="18"/>
  <c r="L134" i="18" s="1"/>
  <c r="K125" i="18"/>
  <c r="L125" i="18" s="1"/>
  <c r="O87" i="18"/>
  <c r="P87" i="18" s="1"/>
  <c r="O129" i="18"/>
  <c r="P129" i="18" s="1"/>
  <c r="O126" i="18"/>
  <c r="P126" i="18" s="1"/>
  <c r="O113" i="18"/>
  <c r="P113" i="18" s="1"/>
  <c r="F86" i="18"/>
  <c r="G86" i="18" s="1"/>
  <c r="K74" i="18"/>
  <c r="L74" i="18" s="1"/>
  <c r="O72" i="18"/>
  <c r="P72" i="18" s="1"/>
  <c r="F184" i="18"/>
  <c r="G184" i="18" s="1"/>
  <c r="F182" i="18"/>
  <c r="G182" i="18" s="1"/>
  <c r="O120" i="18"/>
  <c r="P120" i="18" s="1"/>
  <c r="O88" i="18"/>
  <c r="P88" i="18" s="1"/>
  <c r="K71" i="18"/>
  <c r="L71" i="18" s="1"/>
  <c r="K68" i="18"/>
  <c r="L68" i="18" s="1"/>
  <c r="K179" i="18"/>
  <c r="L179" i="18" s="1"/>
  <c r="F176" i="18"/>
  <c r="G176" i="18" s="1"/>
  <c r="F174" i="18"/>
  <c r="G174" i="18" s="1"/>
  <c r="O136" i="18"/>
  <c r="P136" i="18" s="1"/>
  <c r="K135" i="18"/>
  <c r="L135" i="18" s="1"/>
  <c r="F131" i="18"/>
  <c r="G131" i="18" s="1"/>
  <c r="F119" i="18"/>
  <c r="G119" i="18" s="1"/>
  <c r="K116" i="18"/>
  <c r="L116" i="18" s="1"/>
  <c r="F77" i="18"/>
  <c r="G77" i="18" s="1"/>
  <c r="F74" i="18"/>
  <c r="G74" i="18" s="1"/>
  <c r="F68" i="18"/>
  <c r="G68" i="18" s="1"/>
  <c r="K158" i="18"/>
  <c r="L158" i="18" s="1"/>
  <c r="O127" i="18"/>
  <c r="P127" i="18" s="1"/>
  <c r="O124" i="18"/>
  <c r="P124" i="18" s="1"/>
  <c r="K82" i="18"/>
  <c r="L82" i="18" s="1"/>
  <c r="O73" i="18"/>
  <c r="P73" i="18" s="1"/>
  <c r="F71" i="18"/>
  <c r="G71" i="18" s="1"/>
  <c r="F65" i="18"/>
  <c r="G65" i="18" s="1"/>
  <c r="K173" i="18"/>
  <c r="L173" i="18" s="1"/>
  <c r="F135" i="18"/>
  <c r="G135" i="18" s="1"/>
  <c r="O83" i="18"/>
  <c r="P83" i="18" s="1"/>
  <c r="F159" i="18"/>
  <c r="G159" i="18" s="1"/>
  <c r="F138" i="18"/>
  <c r="G138" i="18" s="1"/>
  <c r="F120" i="18"/>
  <c r="G120" i="18" s="1"/>
  <c r="K91" i="18"/>
  <c r="L91" i="18" s="1"/>
  <c r="K85" i="18"/>
  <c r="L85" i="18" s="1"/>
  <c r="K77" i="18"/>
  <c r="L77" i="18" s="1"/>
  <c r="F173" i="18"/>
  <c r="G173" i="18" s="1"/>
  <c r="K171" i="18"/>
  <c r="L171" i="18" s="1"/>
  <c r="F168" i="18"/>
  <c r="G168" i="18" s="1"/>
  <c r="O119" i="18"/>
  <c r="P119" i="18" s="1"/>
  <c r="K73" i="18"/>
  <c r="L73" i="18" s="1"/>
  <c r="F67" i="18"/>
  <c r="G67" i="18" s="1"/>
  <c r="O65" i="18"/>
  <c r="P65" i="18" s="1"/>
  <c r="F134" i="18"/>
  <c r="G134" i="18" s="1"/>
  <c r="O132" i="18"/>
  <c r="P132" i="18" s="1"/>
  <c r="K126" i="18"/>
  <c r="L126" i="18" s="1"/>
  <c r="F116" i="18"/>
  <c r="G116" i="18" s="1"/>
  <c r="O75" i="18"/>
  <c r="P75" i="18" s="1"/>
  <c r="F180" i="18"/>
  <c r="G180" i="18" s="1"/>
  <c r="F162" i="18"/>
  <c r="G162" i="18" s="1"/>
  <c r="K136" i="18"/>
  <c r="L136" i="18" s="1"/>
  <c r="K131" i="18"/>
  <c r="L131" i="18" s="1"/>
  <c r="F125" i="18"/>
  <c r="G125" i="18" s="1"/>
  <c r="K118" i="18"/>
  <c r="L118" i="18" s="1"/>
  <c r="F82" i="18"/>
  <c r="G82" i="18" s="1"/>
  <c r="O80" i="18"/>
  <c r="P80" i="18" s="1"/>
  <c r="O71" i="18"/>
  <c r="P71" i="18" s="1"/>
  <c r="K183" i="18"/>
  <c r="L183" i="18" s="1"/>
  <c r="F171" i="18"/>
  <c r="G171" i="18" s="1"/>
  <c r="K165" i="18"/>
  <c r="L165" i="18" s="1"/>
  <c r="K163" i="18"/>
  <c r="L163" i="18" s="1"/>
  <c r="O90" i="18"/>
  <c r="P90" i="18" s="1"/>
  <c r="K79" i="18"/>
  <c r="L79" i="18" s="1"/>
  <c r="K65" i="18"/>
  <c r="L65" i="18" s="1"/>
  <c r="F185" i="18"/>
  <c r="G185" i="18" s="1"/>
  <c r="F167" i="18"/>
  <c r="G167" i="18" s="1"/>
  <c r="O138" i="18"/>
  <c r="P138" i="18" s="1"/>
  <c r="K132" i="18"/>
  <c r="L132" i="18" s="1"/>
  <c r="F130" i="18"/>
  <c r="G130" i="18" s="1"/>
  <c r="K127" i="18"/>
  <c r="L127" i="18" s="1"/>
  <c r="O121" i="18"/>
  <c r="P121" i="18" s="1"/>
  <c r="F87" i="18"/>
  <c r="G87" i="18" s="1"/>
  <c r="K84" i="18"/>
  <c r="L84" i="18" s="1"/>
  <c r="K83" i="18"/>
  <c r="L83" i="18" s="1"/>
  <c r="K80" i="18"/>
  <c r="L80" i="18" s="1"/>
  <c r="K75" i="18"/>
  <c r="L75" i="18" s="1"/>
  <c r="O67" i="18"/>
  <c r="P67" i="18" s="1"/>
  <c r="F136" i="18"/>
  <c r="G136" i="18" s="1"/>
  <c r="O116" i="18"/>
  <c r="P116" i="18" s="1"/>
  <c r="F113" i="18"/>
  <c r="G113" i="18" s="1"/>
  <c r="O111" i="18"/>
  <c r="P111" i="18" s="1"/>
  <c r="K90" i="18"/>
  <c r="L90" i="18" s="1"/>
  <c r="F88" i="18"/>
  <c r="G88" i="18" s="1"/>
  <c r="O77" i="18"/>
  <c r="P77" i="18" s="1"/>
  <c r="O68" i="18"/>
  <c r="P68" i="18" s="1"/>
  <c r="K159" i="18"/>
  <c r="L159" i="18" s="1"/>
  <c r="K168" i="18"/>
  <c r="L168" i="18" s="1"/>
  <c r="F183" i="18"/>
  <c r="G183" i="18" s="1"/>
  <c r="F179" i="18"/>
  <c r="G179" i="18" s="1"/>
  <c r="F161" i="18"/>
  <c r="G161" i="18" s="1"/>
  <c r="K138" i="18"/>
  <c r="L138" i="18" s="1"/>
  <c r="K133" i="18"/>
  <c r="L133" i="18" s="1"/>
  <c r="F132" i="18"/>
  <c r="G132" i="18" s="1"/>
  <c r="K124" i="18"/>
  <c r="L124" i="18" s="1"/>
  <c r="K120" i="18"/>
  <c r="L120" i="18" s="1"/>
  <c r="O78" i="18"/>
  <c r="P78" i="18" s="1"/>
  <c r="K177" i="18"/>
  <c r="L177" i="18" s="1"/>
  <c r="K182" i="18"/>
  <c r="L182" i="18" s="1"/>
  <c r="O122" i="18"/>
  <c r="P122" i="18" s="1"/>
  <c r="K86" i="18"/>
  <c r="L86" i="18" s="1"/>
  <c r="F84" i="18"/>
  <c r="G84" i="18" s="1"/>
  <c r="O82" i="18"/>
  <c r="P82" i="18" s="1"/>
  <c r="F80" i="18"/>
  <c r="G80" i="18" s="1"/>
  <c r="O74" i="18"/>
  <c r="P74" i="18" s="1"/>
  <c r="K67" i="18"/>
  <c r="L67" i="18" s="1"/>
  <c r="K174" i="18"/>
  <c r="L174" i="18" s="1"/>
  <c r="F165" i="18"/>
  <c r="G165" i="18" s="1"/>
  <c r="K180" i="18"/>
  <c r="L180" i="18" s="1"/>
  <c r="K162" i="18"/>
  <c r="L162" i="18" s="1"/>
  <c r="F177" i="18"/>
  <c r="G177" i="18" s="1"/>
  <c r="F122" i="18"/>
  <c r="G122" i="18" s="1"/>
  <c r="K112" i="18"/>
  <c r="L112" i="18" s="1"/>
  <c r="F73" i="18"/>
  <c r="G73" i="18" s="1"/>
  <c r="F114" i="18"/>
  <c r="G114" i="18" s="1"/>
  <c r="K89" i="18"/>
  <c r="L89" i="18" s="1"/>
  <c r="F75" i="18"/>
  <c r="G75" i="18" s="1"/>
  <c r="F112" i="18"/>
  <c r="G112" i="18" s="1"/>
  <c r="K87" i="18"/>
  <c r="L87" i="18" s="1"/>
  <c r="F126" i="18"/>
  <c r="G126" i="18" s="1"/>
  <c r="F89" i="18"/>
  <c r="G89" i="18" s="1"/>
  <c r="F85" i="18"/>
  <c r="G85" i="18" s="1"/>
  <c r="F83" i="18"/>
  <c r="G83" i="18" s="1"/>
  <c r="O64" i="18"/>
  <c r="P64" i="18" s="1"/>
  <c r="F69" i="18"/>
  <c r="G69" i="18" s="1"/>
  <c r="F124" i="18"/>
  <c r="G124" i="18" s="1"/>
  <c r="K122" i="18"/>
  <c r="L122" i="18" s="1"/>
  <c r="O66" i="18"/>
  <c r="P66" i="18" s="1"/>
  <c r="F325" i="20"/>
  <c r="G325" i="20" s="1"/>
  <c r="Q325" i="20" s="1"/>
  <c r="Q312" i="20"/>
  <c r="R312" i="20" s="1"/>
  <c r="F310" i="20"/>
  <c r="G310" i="20" s="1"/>
  <c r="Q310" i="20" s="1"/>
  <c r="T310" i="20" s="1"/>
  <c r="F321" i="20"/>
  <c r="G321" i="20" s="1"/>
  <c r="Q321" i="20" s="1"/>
  <c r="T321" i="20" s="1"/>
  <c r="F309" i="20"/>
  <c r="G309" i="20" s="1"/>
  <c r="Q309" i="20" s="1"/>
  <c r="T309" i="20" s="1"/>
  <c r="Q299" i="20"/>
  <c r="R299" i="20" s="1"/>
  <c r="Q306" i="20"/>
  <c r="T306" i="20" s="1"/>
  <c r="Q301" i="20"/>
  <c r="S301" i="20" s="1"/>
  <c r="R19" i="20" s="1"/>
  <c r="T19" i="20" s="1"/>
  <c r="Q314" i="20"/>
  <c r="S314" i="20" s="1"/>
  <c r="R32" i="20" s="1"/>
  <c r="T32" i="20" s="1"/>
  <c r="Q326" i="20"/>
  <c r="R326" i="20" s="1"/>
  <c r="Q308" i="20"/>
  <c r="S308" i="20" s="1"/>
  <c r="R26" i="20" s="1"/>
  <c r="T26" i="20" s="1"/>
  <c r="Q320" i="20"/>
  <c r="R320" i="20" s="1"/>
  <c r="Q302" i="20"/>
  <c r="R302" i="20" s="1"/>
  <c r="Q319" i="20"/>
  <c r="S319" i="20" s="1"/>
  <c r="R37" i="20" s="1"/>
  <c r="T37" i="20" s="1"/>
  <c r="Q300" i="20"/>
  <c r="S300" i="20" s="1"/>
  <c r="R18" i="20" s="1"/>
  <c r="T18" i="20" s="1"/>
  <c r="Q313" i="20"/>
  <c r="T313" i="20" s="1"/>
  <c r="Q307" i="20"/>
  <c r="T307" i="20" s="1"/>
  <c r="Q317" i="20"/>
  <c r="T317" i="20" s="1"/>
  <c r="Q303" i="20"/>
  <c r="Q322" i="20"/>
  <c r="Q304" i="20"/>
  <c r="Q323" i="20"/>
  <c r="S299" i="20"/>
  <c r="R17" i="20" s="1"/>
  <c r="T17" i="20" s="1"/>
  <c r="S326" i="20"/>
  <c r="R44" i="20" s="1"/>
  <c r="T44" i="20" s="1"/>
  <c r="Q318" i="20"/>
  <c r="Q315" i="20"/>
  <c r="Q324" i="20"/>
  <c r="O69" i="21"/>
  <c r="P69" i="21" s="1"/>
  <c r="O90" i="21"/>
  <c r="P90" i="21" s="1"/>
  <c r="G220" i="21"/>
  <c r="H220" i="21" s="1"/>
  <c r="I220" i="21" s="1"/>
  <c r="G229" i="21"/>
  <c r="H229" i="21" s="1"/>
  <c r="I229" i="21" s="1"/>
  <c r="K229" i="21" s="1"/>
  <c r="L41" i="21" s="1"/>
  <c r="N41" i="21" s="1"/>
  <c r="O64" i="21"/>
  <c r="P64" i="21" s="1"/>
  <c r="O73" i="21"/>
  <c r="P73" i="21" s="1"/>
  <c r="K120" i="21"/>
  <c r="L120" i="21" s="1"/>
  <c r="K122" i="21"/>
  <c r="L122" i="21" s="1"/>
  <c r="K124" i="21"/>
  <c r="L124" i="21" s="1"/>
  <c r="K126" i="21"/>
  <c r="L126" i="21" s="1"/>
  <c r="K130" i="21"/>
  <c r="L130" i="21" s="1"/>
  <c r="K132" i="21"/>
  <c r="L132" i="21" s="1"/>
  <c r="K163" i="21"/>
  <c r="L163" i="21" s="1"/>
  <c r="K165" i="21"/>
  <c r="L165" i="21" s="1"/>
  <c r="K174" i="21"/>
  <c r="L174" i="21" s="1"/>
  <c r="K173" i="21"/>
  <c r="L173" i="21" s="1"/>
  <c r="O80" i="21"/>
  <c r="P80" i="21" s="1"/>
  <c r="F73" i="21"/>
  <c r="G73" i="21" s="1"/>
  <c r="K64" i="21"/>
  <c r="L64" i="21" s="1"/>
  <c r="K87" i="21"/>
  <c r="L87" i="21" s="1"/>
  <c r="K112" i="21"/>
  <c r="L112" i="21" s="1"/>
  <c r="K136" i="21"/>
  <c r="L136" i="21" s="1"/>
  <c r="K161" i="21"/>
  <c r="L161" i="21" s="1"/>
  <c r="K179" i="21"/>
  <c r="L179" i="21" s="1"/>
  <c r="G210" i="21"/>
  <c r="H210" i="21" s="1"/>
  <c r="I210" i="21" s="1"/>
  <c r="L210" i="21" s="1"/>
  <c r="G232" i="21"/>
  <c r="H232" i="21" s="1"/>
  <c r="I232" i="21" s="1"/>
  <c r="K68" i="21"/>
  <c r="L68" i="21" s="1"/>
  <c r="O84" i="21"/>
  <c r="P84" i="21" s="1"/>
  <c r="K111" i="21"/>
  <c r="L111" i="21" s="1"/>
  <c r="K135" i="21"/>
  <c r="L135" i="21" s="1"/>
  <c r="K176" i="21"/>
  <c r="L176" i="21" s="1"/>
  <c r="K178" i="21"/>
  <c r="L178" i="21" s="1"/>
  <c r="K180" i="21"/>
  <c r="L180" i="21" s="1"/>
  <c r="F136" i="21"/>
  <c r="G136" i="21" s="1"/>
  <c r="F138" i="21"/>
  <c r="G138" i="21" s="1"/>
  <c r="F78" i="21"/>
  <c r="G78" i="21" s="1"/>
  <c r="K85" i="21"/>
  <c r="L85" i="21" s="1"/>
  <c r="O71" i="21"/>
  <c r="P71" i="21" s="1"/>
  <c r="O74" i="21"/>
  <c r="P74" i="21" s="1"/>
  <c r="F180" i="21"/>
  <c r="G180" i="21" s="1"/>
  <c r="F184" i="21"/>
  <c r="G184" i="21" s="1"/>
  <c r="K79" i="21"/>
  <c r="L79" i="21" s="1"/>
  <c r="O89" i="21"/>
  <c r="P89" i="21" s="1"/>
  <c r="K113" i="21"/>
  <c r="L113" i="21" s="1"/>
  <c r="K125" i="21"/>
  <c r="L125" i="21" s="1"/>
  <c r="K127" i="21"/>
  <c r="L127" i="21" s="1"/>
  <c r="K129" i="21"/>
  <c r="L129" i="21" s="1"/>
  <c r="K131" i="21"/>
  <c r="L131" i="21" s="1"/>
  <c r="F176" i="21"/>
  <c r="G176" i="21" s="1"/>
  <c r="F114" i="21"/>
  <c r="G114" i="21" s="1"/>
  <c r="F120" i="21"/>
  <c r="G120" i="21" s="1"/>
  <c r="F132" i="21"/>
  <c r="G132" i="21" s="1"/>
  <c r="F134" i="21"/>
  <c r="G134" i="21" s="1"/>
  <c r="K137" i="21"/>
  <c r="L137" i="21" s="1"/>
  <c r="K162" i="21"/>
  <c r="L162" i="21" s="1"/>
  <c r="K166" i="21"/>
  <c r="L166" i="21" s="1"/>
  <c r="K172" i="21"/>
  <c r="L172" i="21" s="1"/>
  <c r="G205" i="21"/>
  <c r="H205" i="21" s="1"/>
  <c r="I205" i="21" s="1"/>
  <c r="L205" i="21" s="1"/>
  <c r="F75" i="21"/>
  <c r="G75" i="21" s="1"/>
  <c r="O82" i="21"/>
  <c r="P82" i="21" s="1"/>
  <c r="K84" i="21"/>
  <c r="L84" i="21" s="1"/>
  <c r="K184" i="21"/>
  <c r="L184" i="21" s="1"/>
  <c r="O66" i="21"/>
  <c r="P66" i="21" s="1"/>
  <c r="F71" i="21"/>
  <c r="G71" i="21" s="1"/>
  <c r="F83" i="21"/>
  <c r="G83" i="21" s="1"/>
  <c r="F179" i="21"/>
  <c r="G179" i="21" s="1"/>
  <c r="F181" i="21"/>
  <c r="G181" i="21" s="1"/>
  <c r="G206" i="21"/>
  <c r="H206" i="21" s="1"/>
  <c r="I206" i="21" s="1"/>
  <c r="G209" i="21"/>
  <c r="H209" i="21" s="1"/>
  <c r="I209" i="21" s="1"/>
  <c r="L209" i="21" s="1"/>
  <c r="G215" i="21"/>
  <c r="H215" i="21" s="1"/>
  <c r="I215" i="21" s="1"/>
  <c r="G224" i="21"/>
  <c r="H224" i="21" s="1"/>
  <c r="I224" i="21" s="1"/>
  <c r="G227" i="21"/>
  <c r="H227" i="21" s="1"/>
  <c r="I227" i="21" s="1"/>
  <c r="G230" i="21"/>
  <c r="H230" i="21" s="1"/>
  <c r="I230" i="21" s="1"/>
  <c r="K65" i="21"/>
  <c r="L65" i="21" s="1"/>
  <c r="K90" i="21"/>
  <c r="L90" i="21" s="1"/>
  <c r="K118" i="21"/>
  <c r="L118" i="21" s="1"/>
  <c r="K71" i="21"/>
  <c r="L71" i="21" s="1"/>
  <c r="K80" i="21"/>
  <c r="L80" i="21" s="1"/>
  <c r="K86" i="21"/>
  <c r="L86" i="21" s="1"/>
  <c r="F115" i="21"/>
  <c r="G115" i="21" s="1"/>
  <c r="O65" i="21"/>
  <c r="P65" i="21" s="1"/>
  <c r="F79" i="21"/>
  <c r="G79" i="21" s="1"/>
  <c r="K89" i="21"/>
  <c r="L89" i="21" s="1"/>
  <c r="G213" i="21"/>
  <c r="H213" i="21" s="1"/>
  <c r="I213" i="21" s="1"/>
  <c r="G216" i="21"/>
  <c r="H216" i="21" s="1"/>
  <c r="I216" i="21" s="1"/>
  <c r="G219" i="21"/>
  <c r="H219" i="21" s="1"/>
  <c r="I219" i="21" s="1"/>
  <c r="G231" i="21"/>
  <c r="H231" i="21" s="1"/>
  <c r="I231" i="21" s="1"/>
  <c r="F64" i="21"/>
  <c r="G64" i="21" s="1"/>
  <c r="O72" i="21"/>
  <c r="P72" i="21" s="1"/>
  <c r="K78" i="21"/>
  <c r="L78" i="21" s="1"/>
  <c r="O86" i="21"/>
  <c r="P86" i="21" s="1"/>
  <c r="F121" i="21"/>
  <c r="G121" i="21" s="1"/>
  <c r="F163" i="21"/>
  <c r="G163" i="21" s="1"/>
  <c r="F167" i="21"/>
  <c r="G167" i="21" s="1"/>
  <c r="F169" i="21"/>
  <c r="G169" i="21" s="1"/>
  <c r="K67" i="21"/>
  <c r="L67" i="21" s="1"/>
  <c r="K74" i="21"/>
  <c r="L74" i="21" s="1"/>
  <c r="O75" i="21"/>
  <c r="P75" i="21" s="1"/>
  <c r="F87" i="21"/>
  <c r="G87" i="21" s="1"/>
  <c r="K88" i="21"/>
  <c r="L88" i="21" s="1"/>
  <c r="K91" i="21"/>
  <c r="L91" i="21" s="1"/>
  <c r="F77" i="21"/>
  <c r="G77" i="21" s="1"/>
  <c r="K77" i="21"/>
  <c r="L77" i="21" s="1"/>
  <c r="K167" i="21"/>
  <c r="L167" i="21" s="1"/>
  <c r="O67" i="21"/>
  <c r="P67" i="21" s="1"/>
  <c r="K73" i="21"/>
  <c r="L73" i="21" s="1"/>
  <c r="O88" i="21"/>
  <c r="P88" i="21" s="1"/>
  <c r="G221" i="21"/>
  <c r="H221" i="21" s="1"/>
  <c r="I221" i="21" s="1"/>
  <c r="L221" i="21" s="1"/>
  <c r="F65" i="21"/>
  <c r="G65" i="21" s="1"/>
  <c r="F68" i="21"/>
  <c r="G68" i="21" s="1"/>
  <c r="F89" i="21"/>
  <c r="G89" i="21" s="1"/>
  <c r="F126" i="21"/>
  <c r="G126" i="21" s="1"/>
  <c r="K133" i="21"/>
  <c r="L133" i="21" s="1"/>
  <c r="K177" i="21"/>
  <c r="L177" i="21" s="1"/>
  <c r="K69" i="21"/>
  <c r="L69" i="21" s="1"/>
  <c r="K114" i="21"/>
  <c r="L114" i="21" s="1"/>
  <c r="K116" i="21"/>
  <c r="L116" i="21" s="1"/>
  <c r="K158" i="21"/>
  <c r="L158" i="21" s="1"/>
  <c r="K160" i="21"/>
  <c r="L160" i="21" s="1"/>
  <c r="K185" i="21"/>
  <c r="L185" i="21" s="1"/>
  <c r="K72" i="21"/>
  <c r="L72" i="21" s="1"/>
  <c r="K75" i="21"/>
  <c r="L75" i="21" s="1"/>
  <c r="K82" i="21"/>
  <c r="L82" i="21" s="1"/>
  <c r="F85" i="21"/>
  <c r="G85" i="21" s="1"/>
  <c r="F91" i="21"/>
  <c r="G91" i="21" s="1"/>
  <c r="F119" i="21"/>
  <c r="G119" i="21" s="1"/>
  <c r="K168" i="21"/>
  <c r="L168" i="21" s="1"/>
  <c r="O78" i="21"/>
  <c r="P78" i="21" s="1"/>
  <c r="F88" i="21"/>
  <c r="G88" i="21" s="1"/>
  <c r="F127" i="21"/>
  <c r="G127" i="21" s="1"/>
  <c r="F129" i="21"/>
  <c r="G129" i="21" s="1"/>
  <c r="F160" i="21"/>
  <c r="G160" i="21" s="1"/>
  <c r="F172" i="21"/>
  <c r="G172" i="21" s="1"/>
  <c r="K181" i="21"/>
  <c r="L181" i="21" s="1"/>
  <c r="K183" i="21"/>
  <c r="L183" i="21" s="1"/>
  <c r="G208" i="21"/>
  <c r="H208" i="21" s="1"/>
  <c r="I208" i="21" s="1"/>
  <c r="G223" i="21"/>
  <c r="H223" i="21" s="1"/>
  <c r="I223" i="21" s="1"/>
  <c r="J223" i="21" s="1"/>
  <c r="G226" i="21"/>
  <c r="H226" i="21" s="1"/>
  <c r="I226" i="21" s="1"/>
  <c r="K66" i="21"/>
  <c r="L66" i="21" s="1"/>
  <c r="O68" i="21"/>
  <c r="P68" i="21" s="1"/>
  <c r="O77" i="21"/>
  <c r="P77" i="21" s="1"/>
  <c r="K83" i="21"/>
  <c r="L83" i="21" s="1"/>
  <c r="O85" i="21"/>
  <c r="P85" i="21" s="1"/>
  <c r="F112" i="21"/>
  <c r="G112" i="21" s="1"/>
  <c r="F124" i="21"/>
  <c r="G124" i="21" s="1"/>
  <c r="F131" i="21"/>
  <c r="G131" i="21" s="1"/>
  <c r="F158" i="21"/>
  <c r="G158" i="21" s="1"/>
  <c r="F177" i="21"/>
  <c r="G177" i="21" s="1"/>
  <c r="G218" i="21"/>
  <c r="H218" i="21" s="1"/>
  <c r="I218" i="21" s="1"/>
  <c r="F69" i="21"/>
  <c r="G69" i="21" s="1"/>
  <c r="O83" i="21"/>
  <c r="P83" i="21" s="1"/>
  <c r="O91" i="21"/>
  <c r="P91" i="21" s="1"/>
  <c r="K115" i="21"/>
  <c r="L115" i="21" s="1"/>
  <c r="K134" i="21"/>
  <c r="L134" i="21" s="1"/>
  <c r="F162" i="21"/>
  <c r="G162" i="21" s="1"/>
  <c r="F174" i="21"/>
  <c r="G174" i="21" s="1"/>
  <c r="F182" i="21"/>
  <c r="G182" i="21" s="1"/>
  <c r="F84" i="21"/>
  <c r="G84" i="21" s="1"/>
  <c r="F111" i="21"/>
  <c r="G111" i="21" s="1"/>
  <c r="F133" i="21"/>
  <c r="G133" i="21" s="1"/>
  <c r="F135" i="21"/>
  <c r="G135" i="21" s="1"/>
  <c r="F130" i="21"/>
  <c r="G130" i="21" s="1"/>
  <c r="F159" i="21"/>
  <c r="G159" i="21" s="1"/>
  <c r="F166" i="21"/>
  <c r="G166" i="21" s="1"/>
  <c r="F171" i="21"/>
  <c r="G171" i="21" s="1"/>
  <c r="K182" i="21"/>
  <c r="L182" i="21" s="1"/>
  <c r="G214" i="21"/>
  <c r="H214" i="21" s="1"/>
  <c r="I214" i="21" s="1"/>
  <c r="F74" i="21"/>
  <c r="G74" i="21" s="1"/>
  <c r="F178" i="21"/>
  <c r="G178" i="21" s="1"/>
  <c r="F67" i="21"/>
  <c r="G67" i="21" s="1"/>
  <c r="F113" i="21"/>
  <c r="G113" i="21" s="1"/>
  <c r="F118" i="21"/>
  <c r="G118" i="21" s="1"/>
  <c r="K119" i="21"/>
  <c r="L119" i="21" s="1"/>
  <c r="F125" i="21"/>
  <c r="G125" i="21" s="1"/>
  <c r="F161" i="21"/>
  <c r="G161" i="21" s="1"/>
  <c r="F173" i="21"/>
  <c r="G173" i="21" s="1"/>
  <c r="F183" i="21"/>
  <c r="G183" i="21" s="1"/>
  <c r="G207" i="21"/>
  <c r="H207" i="21" s="1"/>
  <c r="I207" i="21" s="1"/>
  <c r="G225" i="21"/>
  <c r="H225" i="21" s="1"/>
  <c r="I225" i="21" s="1"/>
  <c r="F66" i="21"/>
  <c r="G66" i="21" s="1"/>
  <c r="F72" i="21"/>
  <c r="G72" i="21" s="1"/>
  <c r="F82" i="21"/>
  <c r="G82" i="21" s="1"/>
  <c r="F137" i="21"/>
  <c r="G137" i="21" s="1"/>
  <c r="F168" i="21"/>
  <c r="G168" i="21" s="1"/>
  <c r="O79" i="21"/>
  <c r="P79" i="21" s="1"/>
  <c r="O87" i="21"/>
  <c r="P87" i="21" s="1"/>
  <c r="K121" i="21"/>
  <c r="L121" i="21" s="1"/>
  <c r="K138" i="21"/>
  <c r="L138" i="21" s="1"/>
  <c r="K159" i="21"/>
  <c r="L159" i="21" s="1"/>
  <c r="K169" i="21"/>
  <c r="L169" i="21" s="1"/>
  <c r="K171" i="21"/>
  <c r="L171" i="21" s="1"/>
  <c r="F185" i="21"/>
  <c r="G185" i="21" s="1"/>
  <c r="G212" i="21"/>
  <c r="H212" i="21" s="1"/>
  <c r="I212" i="21" s="1"/>
  <c r="G228" i="21"/>
  <c r="H228" i="21" s="1"/>
  <c r="I228" i="21" s="1"/>
  <c r="K228" i="21" s="1"/>
  <c r="L40" i="21" s="1"/>
  <c r="N40" i="21" s="1"/>
  <c r="F86" i="21"/>
  <c r="G86" i="21" s="1"/>
  <c r="G274" i="20"/>
  <c r="H274" i="20" s="1"/>
  <c r="I274" i="20" s="1"/>
  <c r="F90" i="21"/>
  <c r="G90" i="21" s="1"/>
  <c r="F165" i="21"/>
  <c r="G165" i="21" s="1"/>
  <c r="F80" i="21"/>
  <c r="G80" i="21" s="1"/>
  <c r="F116" i="21"/>
  <c r="G116" i="21" s="1"/>
  <c r="F122" i="21"/>
  <c r="G122" i="21" s="1"/>
  <c r="O82" i="20"/>
  <c r="P82" i="20" s="1"/>
  <c r="O85" i="20"/>
  <c r="P85" i="20" s="1"/>
  <c r="O88" i="20"/>
  <c r="P88" i="20" s="1"/>
  <c r="K112" i="20"/>
  <c r="L112" i="20" s="1"/>
  <c r="K118" i="20"/>
  <c r="L118" i="20" s="1"/>
  <c r="K126" i="20"/>
  <c r="L126" i="20" s="1"/>
  <c r="K132" i="20"/>
  <c r="L132" i="20" s="1"/>
  <c r="K138" i="20"/>
  <c r="L138" i="20" s="1"/>
  <c r="K159" i="20"/>
  <c r="L159" i="20" s="1"/>
  <c r="O84" i="20"/>
  <c r="P84" i="20" s="1"/>
  <c r="G275" i="20"/>
  <c r="H275" i="20" s="1"/>
  <c r="I275" i="20" s="1"/>
  <c r="G278" i="20"/>
  <c r="H278" i="20" s="1"/>
  <c r="I278" i="20" s="1"/>
  <c r="J278" i="20" s="1"/>
  <c r="K125" i="20"/>
  <c r="L125" i="20" s="1"/>
  <c r="K129" i="20"/>
  <c r="L129" i="20" s="1"/>
  <c r="K131" i="20"/>
  <c r="L131" i="20" s="1"/>
  <c r="K137" i="20"/>
  <c r="L137" i="20" s="1"/>
  <c r="K158" i="20"/>
  <c r="L158" i="20" s="1"/>
  <c r="K160" i="20"/>
  <c r="L160" i="20" s="1"/>
  <c r="K162" i="20"/>
  <c r="L162" i="20" s="1"/>
  <c r="K166" i="20"/>
  <c r="L166" i="20" s="1"/>
  <c r="K168" i="20"/>
  <c r="L168" i="20" s="1"/>
  <c r="K176" i="20"/>
  <c r="L176" i="20" s="1"/>
  <c r="K178" i="20"/>
  <c r="L178" i="20" s="1"/>
  <c r="K182" i="20"/>
  <c r="L182" i="20" s="1"/>
  <c r="O77" i="20"/>
  <c r="P77" i="20" s="1"/>
  <c r="O80" i="20"/>
  <c r="P80" i="20" s="1"/>
  <c r="F112" i="20"/>
  <c r="G112" i="20" s="1"/>
  <c r="F167" i="20"/>
  <c r="G167" i="20" s="1"/>
  <c r="G209" i="20"/>
  <c r="H209" i="20" s="1"/>
  <c r="I209" i="20" s="1"/>
  <c r="G212" i="20"/>
  <c r="H212" i="20" s="1"/>
  <c r="I212" i="20" s="1"/>
  <c r="G215" i="20"/>
  <c r="H215" i="20" s="1"/>
  <c r="I215" i="20" s="1"/>
  <c r="G221" i="20"/>
  <c r="H221" i="20" s="1"/>
  <c r="I221" i="20" s="1"/>
  <c r="L221" i="20" s="1"/>
  <c r="G252" i="20"/>
  <c r="H252" i="20" s="1"/>
  <c r="I252" i="20" s="1"/>
  <c r="G254" i="20"/>
  <c r="H254" i="20" s="1"/>
  <c r="I254" i="20" s="1"/>
  <c r="G257" i="20"/>
  <c r="H257" i="20" s="1"/>
  <c r="I257" i="20" s="1"/>
  <c r="G266" i="20"/>
  <c r="H266" i="20" s="1"/>
  <c r="I266" i="20" s="1"/>
  <c r="K266" i="20" s="1"/>
  <c r="O31" i="20" s="1"/>
  <c r="Q31" i="20" s="1"/>
  <c r="G272" i="20"/>
  <c r="H272" i="20" s="1"/>
  <c r="I272" i="20" s="1"/>
  <c r="K82" i="20"/>
  <c r="L82" i="20" s="1"/>
  <c r="O67" i="20"/>
  <c r="P67" i="20" s="1"/>
  <c r="K90" i="20"/>
  <c r="L90" i="20" s="1"/>
  <c r="F115" i="20"/>
  <c r="G115" i="20" s="1"/>
  <c r="F121" i="20"/>
  <c r="G121" i="20" s="1"/>
  <c r="O66" i="20"/>
  <c r="P66" i="20" s="1"/>
  <c r="G229" i="20"/>
  <c r="H229" i="20" s="1"/>
  <c r="I229" i="20" s="1"/>
  <c r="K229" i="20" s="1"/>
  <c r="L41" i="20" s="1"/>
  <c r="N41" i="20" s="1"/>
  <c r="F73" i="20"/>
  <c r="G73" i="20" s="1"/>
  <c r="G276" i="20"/>
  <c r="H276" i="20" s="1"/>
  <c r="I276" i="20" s="1"/>
  <c r="L276" i="20" s="1"/>
  <c r="F174" i="20"/>
  <c r="G174" i="20" s="1"/>
  <c r="F180" i="20"/>
  <c r="G180" i="20" s="1"/>
  <c r="G256" i="20"/>
  <c r="H256" i="20" s="1"/>
  <c r="I256" i="20" s="1"/>
  <c r="G265" i="20"/>
  <c r="H265" i="20" s="1"/>
  <c r="I265" i="20" s="1"/>
  <c r="K77" i="20"/>
  <c r="L77" i="20" s="1"/>
  <c r="K80" i="20"/>
  <c r="L80" i="20" s="1"/>
  <c r="O90" i="20"/>
  <c r="P90" i="20" s="1"/>
  <c r="G277" i="20"/>
  <c r="H277" i="20" s="1"/>
  <c r="I277" i="20" s="1"/>
  <c r="L277" i="20" s="1"/>
  <c r="F79" i="20"/>
  <c r="G79" i="20" s="1"/>
  <c r="K86" i="20"/>
  <c r="L86" i="20" s="1"/>
  <c r="K89" i="20"/>
  <c r="L89" i="20" s="1"/>
  <c r="G205" i="20"/>
  <c r="H205" i="20" s="1"/>
  <c r="I205" i="20" s="1"/>
  <c r="K205" i="20" s="1"/>
  <c r="L17" i="20" s="1"/>
  <c r="N17" i="20" s="1"/>
  <c r="K119" i="20"/>
  <c r="L119" i="20" s="1"/>
  <c r="K174" i="20"/>
  <c r="L174" i="20" s="1"/>
  <c r="F66" i="20"/>
  <c r="G66" i="20" s="1"/>
  <c r="F78" i="20"/>
  <c r="G78" i="20" s="1"/>
  <c r="K91" i="20"/>
  <c r="L91" i="20" s="1"/>
  <c r="F185" i="20"/>
  <c r="G185" i="20" s="1"/>
  <c r="F87" i="20"/>
  <c r="G87" i="20" s="1"/>
  <c r="K88" i="20"/>
  <c r="L88" i="20" s="1"/>
  <c r="F126" i="20"/>
  <c r="G126" i="20" s="1"/>
  <c r="K78" i="20"/>
  <c r="L78" i="20" s="1"/>
  <c r="F68" i="20"/>
  <c r="G68" i="20" s="1"/>
  <c r="F74" i="20"/>
  <c r="G74" i="20" s="1"/>
  <c r="K84" i="20"/>
  <c r="L84" i="20" s="1"/>
  <c r="G210" i="20"/>
  <c r="H210" i="20" s="1"/>
  <c r="I210" i="20" s="1"/>
  <c r="K210" i="20" s="1"/>
  <c r="L22" i="20" s="1"/>
  <c r="N22" i="20" s="1"/>
  <c r="G216" i="20"/>
  <c r="H216" i="20" s="1"/>
  <c r="I216" i="20" s="1"/>
  <c r="J216" i="20" s="1"/>
  <c r="G219" i="20"/>
  <c r="H219" i="20" s="1"/>
  <c r="I219" i="20" s="1"/>
  <c r="G225" i="20"/>
  <c r="H225" i="20" s="1"/>
  <c r="I225" i="20" s="1"/>
  <c r="G228" i="20"/>
  <c r="H228" i="20" s="1"/>
  <c r="I228" i="20" s="1"/>
  <c r="K228" i="20" s="1"/>
  <c r="L40" i="20" s="1"/>
  <c r="N40" i="20" s="1"/>
  <c r="F72" i="20"/>
  <c r="G72" i="20" s="1"/>
  <c r="F114" i="20"/>
  <c r="G114" i="20" s="1"/>
  <c r="F130" i="20"/>
  <c r="G130" i="20" s="1"/>
  <c r="G208" i="20"/>
  <c r="H208" i="20" s="1"/>
  <c r="I208" i="20" s="1"/>
  <c r="O64" i="20"/>
  <c r="P64" i="20" s="1"/>
  <c r="F161" i="20"/>
  <c r="G161" i="20" s="1"/>
  <c r="K172" i="20"/>
  <c r="L172" i="20" s="1"/>
  <c r="G214" i="20"/>
  <c r="H214" i="20" s="1"/>
  <c r="I214" i="20" s="1"/>
  <c r="G223" i="20"/>
  <c r="H223" i="20" s="1"/>
  <c r="I223" i="20" s="1"/>
  <c r="K223" i="20" s="1"/>
  <c r="L35" i="20" s="1"/>
  <c r="N35" i="20" s="1"/>
  <c r="G226" i="20"/>
  <c r="H226" i="20" s="1"/>
  <c r="I226" i="20" s="1"/>
  <c r="K184" i="20"/>
  <c r="L184" i="20" s="1"/>
  <c r="O73" i="20"/>
  <c r="P73" i="20" s="1"/>
  <c r="O87" i="20"/>
  <c r="P87" i="20" s="1"/>
  <c r="K124" i="20"/>
  <c r="L124" i="20" s="1"/>
  <c r="K180" i="20"/>
  <c r="L180" i="20" s="1"/>
  <c r="F163" i="20"/>
  <c r="G163" i="20" s="1"/>
  <c r="G260" i="20"/>
  <c r="H260" i="20" s="1"/>
  <c r="I260" i="20" s="1"/>
  <c r="F71" i="20"/>
  <c r="G71" i="20" s="1"/>
  <c r="F169" i="20"/>
  <c r="G169" i="20" s="1"/>
  <c r="F135" i="20"/>
  <c r="G135" i="20" s="1"/>
  <c r="K165" i="20"/>
  <c r="L165" i="20" s="1"/>
  <c r="G227" i="20"/>
  <c r="H227" i="20" s="1"/>
  <c r="I227" i="20" s="1"/>
  <c r="F64" i="20"/>
  <c r="G64" i="20" s="1"/>
  <c r="K85" i="20"/>
  <c r="L85" i="20" s="1"/>
  <c r="F162" i="20"/>
  <c r="G162" i="20" s="1"/>
  <c r="K169" i="20"/>
  <c r="L169" i="20" s="1"/>
  <c r="K171" i="20"/>
  <c r="L171" i="20" s="1"/>
  <c r="K173" i="20"/>
  <c r="L173" i="20" s="1"/>
  <c r="G255" i="20"/>
  <c r="H255" i="20" s="1"/>
  <c r="I255" i="20" s="1"/>
  <c r="K255" i="20" s="1"/>
  <c r="O20" i="20" s="1"/>
  <c r="Q20" i="20" s="1"/>
  <c r="G261" i="20"/>
  <c r="H261" i="20" s="1"/>
  <c r="I261" i="20" s="1"/>
  <c r="L261" i="20" s="1"/>
  <c r="G267" i="20"/>
  <c r="H267" i="20" s="1"/>
  <c r="I267" i="20" s="1"/>
  <c r="L267" i="20" s="1"/>
  <c r="G270" i="20"/>
  <c r="H270" i="20" s="1"/>
  <c r="I270" i="20" s="1"/>
  <c r="K71" i="20"/>
  <c r="L71" i="20" s="1"/>
  <c r="K111" i="20"/>
  <c r="L111" i="20" s="1"/>
  <c r="K113" i="20"/>
  <c r="L113" i="20" s="1"/>
  <c r="F166" i="20"/>
  <c r="G166" i="20" s="1"/>
  <c r="K177" i="20"/>
  <c r="L177" i="20" s="1"/>
  <c r="F91" i="20"/>
  <c r="G91" i="20" s="1"/>
  <c r="K67" i="20"/>
  <c r="L67" i="20" s="1"/>
  <c r="K135" i="20"/>
  <c r="L135" i="20" s="1"/>
  <c r="O65" i="20"/>
  <c r="P65" i="20" s="1"/>
  <c r="K68" i="20"/>
  <c r="L68" i="20" s="1"/>
  <c r="O69" i="20"/>
  <c r="P69" i="20" s="1"/>
  <c r="K75" i="20"/>
  <c r="L75" i="20" s="1"/>
  <c r="O89" i="20"/>
  <c r="P89" i="20" s="1"/>
  <c r="K120" i="20"/>
  <c r="L120" i="20" s="1"/>
  <c r="F137" i="20"/>
  <c r="G137" i="20" s="1"/>
  <c r="K161" i="20"/>
  <c r="L161" i="20" s="1"/>
  <c r="F171" i="20"/>
  <c r="G171" i="20" s="1"/>
  <c r="F182" i="20"/>
  <c r="G182" i="20" s="1"/>
  <c r="F184" i="20"/>
  <c r="G184" i="20" s="1"/>
  <c r="K185" i="20"/>
  <c r="L185" i="20" s="1"/>
  <c r="F67" i="20"/>
  <c r="G67" i="20" s="1"/>
  <c r="O72" i="20"/>
  <c r="P72" i="20" s="1"/>
  <c r="F77" i="20"/>
  <c r="G77" i="20" s="1"/>
  <c r="K79" i="20"/>
  <c r="L79" i="20" s="1"/>
  <c r="K83" i="20"/>
  <c r="L83" i="20" s="1"/>
  <c r="F86" i="20"/>
  <c r="G86" i="20" s="1"/>
  <c r="F119" i="20"/>
  <c r="G119" i="20" s="1"/>
  <c r="K122" i="20"/>
  <c r="L122" i="20" s="1"/>
  <c r="F158" i="20"/>
  <c r="G158" i="20" s="1"/>
  <c r="F160" i="20"/>
  <c r="G160" i="20" s="1"/>
  <c r="K163" i="20"/>
  <c r="L163" i="20" s="1"/>
  <c r="F173" i="20"/>
  <c r="G173" i="20" s="1"/>
  <c r="G207" i="20"/>
  <c r="H207" i="20" s="1"/>
  <c r="I207" i="20" s="1"/>
  <c r="G218" i="20"/>
  <c r="H218" i="20" s="1"/>
  <c r="I218" i="20" s="1"/>
  <c r="L218" i="20" s="1"/>
  <c r="G232" i="20"/>
  <c r="H232" i="20" s="1"/>
  <c r="I232" i="20" s="1"/>
  <c r="G259" i="20"/>
  <c r="H259" i="20" s="1"/>
  <c r="I259" i="20" s="1"/>
  <c r="O68" i="20"/>
  <c r="P68" i="20" s="1"/>
  <c r="K74" i="20"/>
  <c r="L74" i="20" s="1"/>
  <c r="O75" i="20"/>
  <c r="P75" i="20" s="1"/>
  <c r="O79" i="20"/>
  <c r="P79" i="20" s="1"/>
  <c r="O83" i="20"/>
  <c r="P83" i="20" s="1"/>
  <c r="F85" i="20"/>
  <c r="G85" i="20" s="1"/>
  <c r="K87" i="20"/>
  <c r="L87" i="20" s="1"/>
  <c r="K115" i="20"/>
  <c r="L115" i="20" s="1"/>
  <c r="K133" i="20"/>
  <c r="L133" i="20" s="1"/>
  <c r="K167" i="20"/>
  <c r="L167" i="20" s="1"/>
  <c r="G213" i="20"/>
  <c r="H213" i="20" s="1"/>
  <c r="I213" i="20" s="1"/>
  <c r="G224" i="20"/>
  <c r="H224" i="20" s="1"/>
  <c r="I224" i="20" s="1"/>
  <c r="L224" i="20" s="1"/>
  <c r="G262" i="20"/>
  <c r="H262" i="20" s="1"/>
  <c r="I262" i="20" s="1"/>
  <c r="K66" i="20"/>
  <c r="L66" i="20" s="1"/>
  <c r="O71" i="20"/>
  <c r="P71" i="20" s="1"/>
  <c r="F84" i="20"/>
  <c r="G84" i="20" s="1"/>
  <c r="F125" i="20"/>
  <c r="G125" i="20" s="1"/>
  <c r="F134" i="20"/>
  <c r="G134" i="20" s="1"/>
  <c r="F168" i="20"/>
  <c r="G168" i="20" s="1"/>
  <c r="F179" i="20"/>
  <c r="G179" i="20" s="1"/>
  <c r="G230" i="20"/>
  <c r="H230" i="20" s="1"/>
  <c r="I230" i="20" s="1"/>
  <c r="K230" i="20" s="1"/>
  <c r="L42" i="20" s="1"/>
  <c r="N42" i="20" s="1"/>
  <c r="G273" i="20"/>
  <c r="H273" i="20" s="1"/>
  <c r="I273" i="20" s="1"/>
  <c r="J273" i="20" s="1"/>
  <c r="F65" i="20"/>
  <c r="G65" i="20" s="1"/>
  <c r="F69" i="20"/>
  <c r="G69" i="20" s="1"/>
  <c r="O74" i="20"/>
  <c r="P74" i="20" s="1"/>
  <c r="O78" i="20"/>
  <c r="P78" i="20" s="1"/>
  <c r="F127" i="20"/>
  <c r="G127" i="20" s="1"/>
  <c r="F129" i="20"/>
  <c r="G129" i="20" s="1"/>
  <c r="K130" i="20"/>
  <c r="L130" i="20" s="1"/>
  <c r="F132" i="20"/>
  <c r="G132" i="20" s="1"/>
  <c r="F136" i="20"/>
  <c r="G136" i="20" s="1"/>
  <c r="F172" i="20"/>
  <c r="G172" i="20" s="1"/>
  <c r="G268" i="20"/>
  <c r="H268" i="20" s="1"/>
  <c r="I268" i="20" s="1"/>
  <c r="K73" i="20"/>
  <c r="L73" i="20" s="1"/>
  <c r="F88" i="20"/>
  <c r="G88" i="20" s="1"/>
  <c r="O91" i="20"/>
  <c r="P91" i="20" s="1"/>
  <c r="F118" i="20"/>
  <c r="G118" i="20" s="1"/>
  <c r="K121" i="20"/>
  <c r="L121" i="20" s="1"/>
  <c r="G263" i="20"/>
  <c r="H263" i="20" s="1"/>
  <c r="I263" i="20" s="1"/>
  <c r="G271" i="20"/>
  <c r="H271" i="20" s="1"/>
  <c r="I271" i="20" s="1"/>
  <c r="L271" i="20" s="1"/>
  <c r="F181" i="20"/>
  <c r="G181" i="20" s="1"/>
  <c r="K65" i="20"/>
  <c r="L65" i="20" s="1"/>
  <c r="K69" i="20"/>
  <c r="L69" i="20" s="1"/>
  <c r="F75" i="20"/>
  <c r="G75" i="20" s="1"/>
  <c r="F83" i="20"/>
  <c r="G83" i="20" s="1"/>
  <c r="O86" i="20"/>
  <c r="P86" i="20" s="1"/>
  <c r="F111" i="20"/>
  <c r="G111" i="20" s="1"/>
  <c r="K114" i="20"/>
  <c r="L114" i="20" s="1"/>
  <c r="K116" i="20"/>
  <c r="L116" i="20" s="1"/>
  <c r="F122" i="20"/>
  <c r="G122" i="20" s="1"/>
  <c r="F131" i="20"/>
  <c r="G131" i="20" s="1"/>
  <c r="K134" i="20"/>
  <c r="L134" i="20" s="1"/>
  <c r="F138" i="20"/>
  <c r="G138" i="20" s="1"/>
  <c r="F176" i="20"/>
  <c r="G176" i="20" s="1"/>
  <c r="K179" i="20"/>
  <c r="L179" i="20" s="1"/>
  <c r="G206" i="20"/>
  <c r="H206" i="20" s="1"/>
  <c r="I206" i="20" s="1"/>
  <c r="K206" i="20" s="1"/>
  <c r="L18" i="20" s="1"/>
  <c r="N18" i="20" s="1"/>
  <c r="G220" i="20"/>
  <c r="H220" i="20" s="1"/>
  <c r="I220" i="20" s="1"/>
  <c r="G231" i="20"/>
  <c r="H231" i="20" s="1"/>
  <c r="I231" i="20" s="1"/>
  <c r="G279" i="20"/>
  <c r="H279" i="20" s="1"/>
  <c r="I279" i="20" s="1"/>
  <c r="K64" i="20"/>
  <c r="L64" i="20" s="1"/>
  <c r="K72" i="20"/>
  <c r="L72" i="20" s="1"/>
  <c r="F113" i="20"/>
  <c r="G113" i="20" s="1"/>
  <c r="F120" i="20"/>
  <c r="G120" i="20" s="1"/>
  <c r="F124" i="20"/>
  <c r="G124" i="20" s="1"/>
  <c r="K127" i="20"/>
  <c r="L127" i="20" s="1"/>
  <c r="F133" i="20"/>
  <c r="G133" i="20" s="1"/>
  <c r="K136" i="20"/>
  <c r="L136" i="20" s="1"/>
  <c r="F165" i="20"/>
  <c r="G165" i="20" s="1"/>
  <c r="F178" i="20"/>
  <c r="G178" i="20" s="1"/>
  <c r="K181" i="20"/>
  <c r="L181" i="20" s="1"/>
  <c r="K183" i="20"/>
  <c r="L183" i="20" s="1"/>
  <c r="G253" i="20"/>
  <c r="H253" i="20" s="1"/>
  <c r="I253" i="20" s="1"/>
  <c r="K253" i="20" s="1"/>
  <c r="O18" i="20" s="1"/>
  <c r="Q18" i="20" s="1"/>
  <c r="F89" i="20"/>
  <c r="G89" i="20" s="1"/>
  <c r="F90" i="20"/>
  <c r="G90" i="20" s="1"/>
  <c r="F183" i="20"/>
  <c r="G183" i="20" s="1"/>
  <c r="F159" i="20"/>
  <c r="G159" i="20" s="1"/>
  <c r="F80" i="20"/>
  <c r="G80" i="20" s="1"/>
  <c r="F177" i="20"/>
  <c r="G177" i="20" s="1"/>
  <c r="F82" i="20"/>
  <c r="G82" i="20" s="1"/>
  <c r="F116" i="20"/>
  <c r="G116" i="20" s="1"/>
  <c r="G279" i="15"/>
  <c r="H279" i="15" s="1"/>
  <c r="I279" i="15" s="1"/>
  <c r="G278" i="15"/>
  <c r="H278" i="15" s="1"/>
  <c r="I278" i="15" s="1"/>
  <c r="G268" i="15"/>
  <c r="H268" i="15" s="1"/>
  <c r="I268" i="15" s="1"/>
  <c r="G274" i="15"/>
  <c r="H274" i="15" s="1"/>
  <c r="I274" i="15" s="1"/>
  <c r="L274" i="15" s="1"/>
  <c r="G263" i="15"/>
  <c r="H263" i="15" s="1"/>
  <c r="I263" i="15" s="1"/>
  <c r="G266" i="15"/>
  <c r="H266" i="15" s="1"/>
  <c r="I266" i="15" s="1"/>
  <c r="K266" i="15" s="1"/>
  <c r="O31" i="15" s="1"/>
  <c r="Q31" i="15" s="1"/>
  <c r="G272" i="15"/>
  <c r="H272" i="15" s="1"/>
  <c r="I272" i="15" s="1"/>
  <c r="G275" i="15"/>
  <c r="H275" i="15" s="1"/>
  <c r="I275" i="15" s="1"/>
  <c r="G276" i="15"/>
  <c r="H276" i="15" s="1"/>
  <c r="I276" i="15" s="1"/>
  <c r="G254" i="15"/>
  <c r="H254" i="15" s="1"/>
  <c r="I254" i="15" s="1"/>
  <c r="L254" i="15" s="1"/>
  <c r="G257" i="15"/>
  <c r="H257" i="15" s="1"/>
  <c r="I257" i="15" s="1"/>
  <c r="G260" i="15"/>
  <c r="H260" i="15" s="1"/>
  <c r="I260" i="15" s="1"/>
  <c r="G252" i="15"/>
  <c r="H252" i="15" s="1"/>
  <c r="I252" i="15" s="1"/>
  <c r="G261" i="15"/>
  <c r="H261" i="15" s="1"/>
  <c r="I261" i="15" s="1"/>
  <c r="G270" i="15"/>
  <c r="H270" i="15" s="1"/>
  <c r="I270" i="15" s="1"/>
  <c r="G259" i="15"/>
  <c r="H259" i="15" s="1"/>
  <c r="I259" i="15" s="1"/>
  <c r="L259" i="15" s="1"/>
  <c r="G277" i="15"/>
  <c r="H277" i="15" s="1"/>
  <c r="I277" i="15" s="1"/>
  <c r="L277" i="15" s="1"/>
  <c r="G255" i="15"/>
  <c r="H255" i="15" s="1"/>
  <c r="I255" i="15" s="1"/>
  <c r="G253" i="15"/>
  <c r="H253" i="15" s="1"/>
  <c r="I253" i="15" s="1"/>
  <c r="J253" i="15" s="1"/>
  <c r="G256" i="15"/>
  <c r="H256" i="15" s="1"/>
  <c r="I256" i="15" s="1"/>
  <c r="G267" i="15"/>
  <c r="H267" i="15" s="1"/>
  <c r="I267" i="15" s="1"/>
  <c r="J267" i="15" s="1"/>
  <c r="G262" i="15"/>
  <c r="H262" i="15" s="1"/>
  <c r="I262" i="15" s="1"/>
  <c r="G273" i="15"/>
  <c r="H273" i="15" s="1"/>
  <c r="I273" i="15" s="1"/>
  <c r="G265" i="15"/>
  <c r="H265" i="15" s="1"/>
  <c r="I265" i="15" s="1"/>
  <c r="J265" i="15" s="1"/>
  <c r="G271" i="15"/>
  <c r="H271" i="15" s="1"/>
  <c r="I271" i="15" s="1"/>
  <c r="J271" i="15" s="1"/>
  <c r="G218" i="15"/>
  <c r="H218" i="15" s="1"/>
  <c r="G220" i="15"/>
  <c r="H220" i="15" s="1"/>
  <c r="G224" i="15"/>
  <c r="H224" i="15" s="1"/>
  <c r="G226" i="15"/>
  <c r="H226" i="15" s="1"/>
  <c r="G232" i="15"/>
  <c r="H232" i="15" s="1"/>
  <c r="G205" i="15"/>
  <c r="H205" i="15" s="1"/>
  <c r="G213" i="15"/>
  <c r="H213" i="15" s="1"/>
  <c r="G206" i="15"/>
  <c r="H206" i="15" s="1"/>
  <c r="G208" i="15"/>
  <c r="H208" i="15" s="1"/>
  <c r="G210" i="15"/>
  <c r="H210" i="15" s="1"/>
  <c r="G223" i="15"/>
  <c r="H223" i="15" s="1"/>
  <c r="G227" i="15"/>
  <c r="H227" i="15" s="1"/>
  <c r="G229" i="15"/>
  <c r="H229" i="15" s="1"/>
  <c r="G209" i="15"/>
  <c r="H209" i="15" s="1"/>
  <c r="G215" i="15"/>
  <c r="H215" i="15" s="1"/>
  <c r="G219" i="15"/>
  <c r="H219" i="15" s="1"/>
  <c r="G221" i="15"/>
  <c r="H221" i="15" s="1"/>
  <c r="G231" i="15"/>
  <c r="H231" i="15" s="1"/>
  <c r="G225" i="15"/>
  <c r="H225" i="15" s="1"/>
  <c r="G212" i="15"/>
  <c r="H212" i="15" s="1"/>
  <c r="G214" i="15"/>
  <c r="H214" i="15" s="1"/>
  <c r="G216" i="15"/>
  <c r="H216" i="15" s="1"/>
  <c r="G207" i="15"/>
  <c r="H207" i="15" s="1"/>
  <c r="G228" i="15"/>
  <c r="H228" i="15" s="1"/>
  <c r="G230" i="15"/>
  <c r="H230" i="15" s="1"/>
  <c r="K158" i="15"/>
  <c r="L158" i="15" s="1"/>
  <c r="K168" i="15"/>
  <c r="L168" i="15" s="1"/>
  <c r="K176" i="15"/>
  <c r="L176" i="15" s="1"/>
  <c r="K182" i="15"/>
  <c r="L182" i="15" s="1"/>
  <c r="F165" i="15"/>
  <c r="G165" i="15" s="1"/>
  <c r="F171" i="15"/>
  <c r="G171" i="15" s="1"/>
  <c r="F177" i="15"/>
  <c r="G177" i="15" s="1"/>
  <c r="F179" i="15"/>
  <c r="G179" i="15" s="1"/>
  <c r="K159" i="15"/>
  <c r="L159" i="15" s="1"/>
  <c r="K161" i="15"/>
  <c r="L161" i="15" s="1"/>
  <c r="K173" i="15"/>
  <c r="L173" i="15" s="1"/>
  <c r="K172" i="15"/>
  <c r="L172" i="15" s="1"/>
  <c r="K169" i="15"/>
  <c r="L169" i="15" s="1"/>
  <c r="F159" i="15"/>
  <c r="G159" i="15" s="1"/>
  <c r="F161" i="15"/>
  <c r="G161" i="15" s="1"/>
  <c r="K166" i="15"/>
  <c r="L166" i="15" s="1"/>
  <c r="F184" i="15"/>
  <c r="G184" i="15" s="1"/>
  <c r="K178" i="15"/>
  <c r="L178" i="15" s="1"/>
  <c r="K180" i="15"/>
  <c r="L180" i="15" s="1"/>
  <c r="F169" i="15"/>
  <c r="G169" i="15" s="1"/>
  <c r="K184" i="15"/>
  <c r="L184" i="15" s="1"/>
  <c r="F158" i="15"/>
  <c r="G158" i="15" s="1"/>
  <c r="K165" i="15"/>
  <c r="L165" i="15" s="1"/>
  <c r="F185" i="15"/>
  <c r="G185" i="15" s="1"/>
  <c r="F183" i="15"/>
  <c r="G183" i="15" s="1"/>
  <c r="K177" i="15"/>
  <c r="L177" i="15" s="1"/>
  <c r="K179" i="15"/>
  <c r="L179" i="15" s="1"/>
  <c r="F172" i="15"/>
  <c r="G172" i="15" s="1"/>
  <c r="F176" i="15"/>
  <c r="G176" i="15" s="1"/>
  <c r="K185" i="15"/>
  <c r="L185" i="15" s="1"/>
  <c r="K160" i="15"/>
  <c r="L160" i="15" s="1"/>
  <c r="K162" i="15"/>
  <c r="L162" i="15" s="1"/>
  <c r="F166" i="15"/>
  <c r="G166" i="15" s="1"/>
  <c r="F168" i="15"/>
  <c r="G168" i="15" s="1"/>
  <c r="K171" i="15"/>
  <c r="L171" i="15" s="1"/>
  <c r="F163" i="15"/>
  <c r="G163" i="15" s="1"/>
  <c r="F174" i="15"/>
  <c r="G174" i="15" s="1"/>
  <c r="F181" i="15"/>
  <c r="G181" i="15" s="1"/>
  <c r="F167" i="15"/>
  <c r="G167" i="15" s="1"/>
  <c r="K163" i="15"/>
  <c r="L163" i="15" s="1"/>
  <c r="K181" i="15"/>
  <c r="L181" i="15" s="1"/>
  <c r="F160" i="15"/>
  <c r="G160" i="15" s="1"/>
  <c r="F162" i="15"/>
  <c r="G162" i="15" s="1"/>
  <c r="K174" i="15"/>
  <c r="L174" i="15" s="1"/>
  <c r="F178" i="15"/>
  <c r="G178" i="15" s="1"/>
  <c r="F180" i="15"/>
  <c r="G180" i="15" s="1"/>
  <c r="F182" i="15"/>
  <c r="G182" i="15" s="1"/>
  <c r="K183" i="15"/>
  <c r="L183" i="15" s="1"/>
  <c r="K167" i="15"/>
  <c r="L167" i="15" s="1"/>
  <c r="F173" i="15"/>
  <c r="G173" i="15" s="1"/>
  <c r="K118" i="15"/>
  <c r="L118" i="15" s="1"/>
  <c r="K120" i="15"/>
  <c r="L120" i="15" s="1"/>
  <c r="F130" i="15"/>
  <c r="G130" i="15" s="1"/>
  <c r="K122" i="15"/>
  <c r="L122" i="15" s="1"/>
  <c r="O65" i="15"/>
  <c r="P65" i="15" s="1"/>
  <c r="K133" i="15"/>
  <c r="L133" i="15" s="1"/>
  <c r="K135" i="15"/>
  <c r="L135" i="15" s="1"/>
  <c r="F118" i="15"/>
  <c r="G118" i="15" s="1"/>
  <c r="K125" i="15"/>
  <c r="L125" i="15" s="1"/>
  <c r="K129" i="15"/>
  <c r="L129" i="15" s="1"/>
  <c r="K75" i="15"/>
  <c r="L75" i="15" s="1"/>
  <c r="F125" i="15"/>
  <c r="G125" i="15" s="1"/>
  <c r="O67" i="15"/>
  <c r="P67" i="15" s="1"/>
  <c r="F126" i="15"/>
  <c r="G126" i="15" s="1"/>
  <c r="O75" i="15"/>
  <c r="P75" i="15" s="1"/>
  <c r="O87" i="15"/>
  <c r="P87" i="15" s="1"/>
  <c r="O82" i="15"/>
  <c r="P82" i="15" s="1"/>
  <c r="F68" i="15"/>
  <c r="G68" i="15" s="1"/>
  <c r="K111" i="15"/>
  <c r="L111" i="15" s="1"/>
  <c r="K71" i="15"/>
  <c r="L71" i="15" s="1"/>
  <c r="K74" i="15"/>
  <c r="L74" i="15" s="1"/>
  <c r="F112" i="15"/>
  <c r="G112" i="15" s="1"/>
  <c r="F73" i="15"/>
  <c r="G73" i="15" s="1"/>
  <c r="K89" i="15"/>
  <c r="L89" i="15" s="1"/>
  <c r="K114" i="15"/>
  <c r="L114" i="15" s="1"/>
  <c r="K126" i="15"/>
  <c r="L126" i="15" s="1"/>
  <c r="K67" i="15"/>
  <c r="L67" i="15" s="1"/>
  <c r="O66" i="15"/>
  <c r="P66" i="15" s="1"/>
  <c r="F74" i="15"/>
  <c r="G74" i="15" s="1"/>
  <c r="O79" i="15"/>
  <c r="P79" i="15" s="1"/>
  <c r="O85" i="15"/>
  <c r="P85" i="15" s="1"/>
  <c r="O91" i="15"/>
  <c r="P91" i="15" s="1"/>
  <c r="K113" i="15"/>
  <c r="L113" i="15" s="1"/>
  <c r="K78" i="15"/>
  <c r="L78" i="15" s="1"/>
  <c r="K84" i="15"/>
  <c r="L84" i="15" s="1"/>
  <c r="K87" i="15"/>
  <c r="L87" i="15" s="1"/>
  <c r="K119" i="15"/>
  <c r="L119" i="15" s="1"/>
  <c r="K121" i="15"/>
  <c r="L121" i="15" s="1"/>
  <c r="K65" i="15"/>
  <c r="L65" i="15" s="1"/>
  <c r="O72" i="15"/>
  <c r="P72" i="15" s="1"/>
  <c r="F77" i="15"/>
  <c r="G77" i="15" s="1"/>
  <c r="F83" i="15"/>
  <c r="G83" i="15" s="1"/>
  <c r="F86" i="15"/>
  <c r="G86" i="15" s="1"/>
  <c r="K137" i="15"/>
  <c r="L137" i="15" s="1"/>
  <c r="K64" i="15"/>
  <c r="L64" i="15" s="1"/>
  <c r="O68" i="15"/>
  <c r="P68" i="15" s="1"/>
  <c r="K77" i="15"/>
  <c r="L77" i="15" s="1"/>
  <c r="K80" i="15"/>
  <c r="L80" i="15" s="1"/>
  <c r="O84" i="15"/>
  <c r="P84" i="15" s="1"/>
  <c r="K86" i="15"/>
  <c r="L86" i="15" s="1"/>
  <c r="F120" i="15"/>
  <c r="G120" i="15" s="1"/>
  <c r="F124" i="15"/>
  <c r="G124" i="15" s="1"/>
  <c r="F136" i="15"/>
  <c r="G136" i="15" s="1"/>
  <c r="F66" i="15"/>
  <c r="G66" i="15" s="1"/>
  <c r="O71" i="15"/>
  <c r="P71" i="15" s="1"/>
  <c r="O74" i="15"/>
  <c r="P74" i="15" s="1"/>
  <c r="F79" i="15"/>
  <c r="G79" i="15" s="1"/>
  <c r="K83" i="15"/>
  <c r="L83" i="15" s="1"/>
  <c r="F85" i="15"/>
  <c r="G85" i="15" s="1"/>
  <c r="F91" i="15"/>
  <c r="G91" i="15" s="1"/>
  <c r="F134" i="15"/>
  <c r="G134" i="15" s="1"/>
  <c r="F69" i="15"/>
  <c r="G69" i="15" s="1"/>
  <c r="K73" i="15"/>
  <c r="L73" i="15" s="1"/>
  <c r="O64" i="15"/>
  <c r="P64" i="15" s="1"/>
  <c r="F72" i="15"/>
  <c r="G72" i="15" s="1"/>
  <c r="O83" i="15"/>
  <c r="P83" i="15" s="1"/>
  <c r="K66" i="15"/>
  <c r="L66" i="15" s="1"/>
  <c r="K79" i="15"/>
  <c r="L79" i="15" s="1"/>
  <c r="K82" i="15"/>
  <c r="L82" i="15" s="1"/>
  <c r="K85" i="15"/>
  <c r="L85" i="15" s="1"/>
  <c r="F115" i="15"/>
  <c r="G115" i="15" s="1"/>
  <c r="F119" i="15"/>
  <c r="G119" i="15" s="1"/>
  <c r="K69" i="15"/>
  <c r="L69" i="15" s="1"/>
  <c r="F84" i="15"/>
  <c r="G84" i="15" s="1"/>
  <c r="F90" i="15"/>
  <c r="G90" i="15" s="1"/>
  <c r="K91" i="15"/>
  <c r="L91" i="15" s="1"/>
  <c r="O88" i="15"/>
  <c r="P88" i="15" s="1"/>
  <c r="K131" i="15"/>
  <c r="L131" i="15" s="1"/>
  <c r="F67" i="15"/>
  <c r="G67" i="15" s="1"/>
  <c r="K68" i="15"/>
  <c r="L68" i="15" s="1"/>
  <c r="F71" i="15"/>
  <c r="G71" i="15" s="1"/>
  <c r="K72" i="15"/>
  <c r="L72" i="15" s="1"/>
  <c r="F75" i="15"/>
  <c r="G75" i="15" s="1"/>
  <c r="F89" i="15"/>
  <c r="G89" i="15" s="1"/>
  <c r="K90" i="15"/>
  <c r="L90" i="15" s="1"/>
  <c r="O78" i="15"/>
  <c r="P78" i="15" s="1"/>
  <c r="O69" i="15"/>
  <c r="P69" i="15" s="1"/>
  <c r="O73" i="15"/>
  <c r="P73" i="15" s="1"/>
  <c r="O77" i="15"/>
  <c r="P77" i="15" s="1"/>
  <c r="F82" i="15"/>
  <c r="G82" i="15" s="1"/>
  <c r="K115" i="15"/>
  <c r="L115" i="15" s="1"/>
  <c r="F121" i="15"/>
  <c r="G121" i="15" s="1"/>
  <c r="K124" i="15"/>
  <c r="L124" i="15" s="1"/>
  <c r="F78" i="15"/>
  <c r="G78" i="15" s="1"/>
  <c r="O80" i="15"/>
  <c r="P80" i="15" s="1"/>
  <c r="F116" i="15"/>
  <c r="G116" i="15" s="1"/>
  <c r="F88" i="15"/>
  <c r="G88" i="15" s="1"/>
  <c r="O90" i="15"/>
  <c r="P90" i="15" s="1"/>
  <c r="F114" i="15"/>
  <c r="G114" i="15" s="1"/>
  <c r="F127" i="15"/>
  <c r="G127" i="15" s="1"/>
  <c r="F129" i="15"/>
  <c r="G129" i="15" s="1"/>
  <c r="K130" i="15"/>
  <c r="L130" i="15" s="1"/>
  <c r="K132" i="15"/>
  <c r="L132" i="15" s="1"/>
  <c r="F137" i="15"/>
  <c r="G137" i="15" s="1"/>
  <c r="F65" i="15"/>
  <c r="G65" i="15" s="1"/>
  <c r="O86" i="15"/>
  <c r="P86" i="15" s="1"/>
  <c r="K112" i="15"/>
  <c r="L112" i="15" s="1"/>
  <c r="F133" i="15"/>
  <c r="G133" i="15" s="1"/>
  <c r="K134" i="15"/>
  <c r="L134" i="15" s="1"/>
  <c r="F87" i="15"/>
  <c r="G87" i="15" s="1"/>
  <c r="K88" i="15"/>
  <c r="L88" i="15" s="1"/>
  <c r="O89" i="15"/>
  <c r="P89" i="15" s="1"/>
  <c r="F111" i="15"/>
  <c r="G111" i="15" s="1"/>
  <c r="K116" i="15"/>
  <c r="L116" i="15" s="1"/>
  <c r="F122" i="15"/>
  <c r="G122" i="15" s="1"/>
  <c r="F131" i="15"/>
  <c r="G131" i="15" s="1"/>
  <c r="F135" i="15"/>
  <c r="G135" i="15" s="1"/>
  <c r="K136" i="15"/>
  <c r="L136" i="15" s="1"/>
  <c r="K138" i="15"/>
  <c r="L138" i="15" s="1"/>
  <c r="F64" i="15"/>
  <c r="G64" i="15" s="1"/>
  <c r="F80" i="15"/>
  <c r="G80" i="15" s="1"/>
  <c r="F113" i="15"/>
  <c r="G113" i="15" s="1"/>
  <c r="K127" i="15"/>
  <c r="L127" i="15" s="1"/>
  <c r="F132" i="15"/>
  <c r="G132" i="15" s="1"/>
  <c r="F138" i="15"/>
  <c r="G138" i="15" s="1"/>
  <c r="F206" i="14"/>
  <c r="G206" i="14" s="1"/>
  <c r="F209" i="14"/>
  <c r="G209" i="14" s="1"/>
  <c r="F221" i="14"/>
  <c r="G221" i="14" s="1"/>
  <c r="K208" i="14"/>
  <c r="L208" i="14" s="1"/>
  <c r="K214" i="14"/>
  <c r="L214" i="14" s="1"/>
  <c r="K226" i="14"/>
  <c r="L226" i="14" s="1"/>
  <c r="K229" i="14"/>
  <c r="L229" i="14" s="1"/>
  <c r="K232" i="14"/>
  <c r="L232" i="14" s="1"/>
  <c r="F226" i="14"/>
  <c r="G226" i="14" s="1"/>
  <c r="F232" i="14"/>
  <c r="G232" i="14" s="1"/>
  <c r="K209" i="14"/>
  <c r="L209" i="14" s="1"/>
  <c r="K215" i="14"/>
  <c r="L215" i="14" s="1"/>
  <c r="K224" i="14"/>
  <c r="L224" i="14" s="1"/>
  <c r="K230" i="14"/>
  <c r="L230" i="14" s="1"/>
  <c r="F218" i="14"/>
  <c r="G218" i="14" s="1"/>
  <c r="F230" i="14"/>
  <c r="G230" i="14" s="1"/>
  <c r="K213" i="14"/>
  <c r="L213" i="14" s="1"/>
  <c r="K216" i="14"/>
  <c r="L216" i="14" s="1"/>
  <c r="K225" i="14"/>
  <c r="L225" i="14" s="1"/>
  <c r="K231" i="14"/>
  <c r="L231" i="14" s="1"/>
  <c r="F214" i="14"/>
  <c r="G214" i="14" s="1"/>
  <c r="F210" i="14"/>
  <c r="G210" i="14" s="1"/>
  <c r="F216" i="14"/>
  <c r="G216" i="14" s="1"/>
  <c r="F225" i="14"/>
  <c r="G225" i="14" s="1"/>
  <c r="K212" i="14"/>
  <c r="L212" i="14" s="1"/>
  <c r="F220" i="14"/>
  <c r="G220" i="14" s="1"/>
  <c r="K228" i="14"/>
  <c r="L228" i="14" s="1"/>
  <c r="F207" i="14"/>
  <c r="G207" i="14" s="1"/>
  <c r="F223" i="14"/>
  <c r="G223" i="14" s="1"/>
  <c r="K205" i="14"/>
  <c r="L205" i="14" s="1"/>
  <c r="F213" i="14"/>
  <c r="G213" i="14" s="1"/>
  <c r="K218" i="14"/>
  <c r="L218" i="14" s="1"/>
  <c r="K221" i="14"/>
  <c r="L221" i="14" s="1"/>
  <c r="F229" i="14"/>
  <c r="G229" i="14" s="1"/>
  <c r="F219" i="14"/>
  <c r="G219" i="14" s="1"/>
  <c r="K227" i="14"/>
  <c r="L227" i="14" s="1"/>
  <c r="F212" i="14"/>
  <c r="G212" i="14" s="1"/>
  <c r="K220" i="14"/>
  <c r="L220" i="14" s="1"/>
  <c r="F228" i="14"/>
  <c r="G228" i="14" s="1"/>
  <c r="K207" i="14"/>
  <c r="L207" i="14" s="1"/>
  <c r="F215" i="14"/>
  <c r="G215" i="14" s="1"/>
  <c r="K223" i="14"/>
  <c r="L223" i="14" s="1"/>
  <c r="F231" i="14"/>
  <c r="G231" i="14" s="1"/>
  <c r="F208" i="14"/>
  <c r="G208" i="14" s="1"/>
  <c r="F224" i="14"/>
  <c r="G224" i="14" s="1"/>
  <c r="K219" i="14"/>
  <c r="L219" i="14" s="1"/>
  <c r="F227" i="14"/>
  <c r="G227" i="14" s="1"/>
  <c r="K206" i="14"/>
  <c r="L206" i="14" s="1"/>
  <c r="K210" i="14"/>
  <c r="L210" i="14" s="1"/>
  <c r="F205" i="14"/>
  <c r="G205" i="14" s="1"/>
  <c r="O162" i="14"/>
  <c r="P162" i="14" s="1"/>
  <c r="O171" i="14"/>
  <c r="P171" i="14" s="1"/>
  <c r="O174" i="14"/>
  <c r="P174" i="14" s="1"/>
  <c r="O177" i="14"/>
  <c r="P177" i="14" s="1"/>
  <c r="O180" i="14"/>
  <c r="P180" i="14" s="1"/>
  <c r="O183" i="14"/>
  <c r="P183" i="14" s="1"/>
  <c r="F185" i="14"/>
  <c r="G185" i="14" s="1"/>
  <c r="O138" i="14"/>
  <c r="P138" i="14" s="1"/>
  <c r="K184" i="14"/>
  <c r="L184" i="14" s="1"/>
  <c r="O161" i="14"/>
  <c r="P161" i="14" s="1"/>
  <c r="O181" i="14"/>
  <c r="P181" i="14" s="1"/>
  <c r="F173" i="14"/>
  <c r="G173" i="14" s="1"/>
  <c r="F176" i="14"/>
  <c r="G176" i="14" s="1"/>
  <c r="O185" i="14"/>
  <c r="P185" i="14" s="1"/>
  <c r="K159" i="14"/>
  <c r="L159" i="14" s="1"/>
  <c r="K171" i="14"/>
  <c r="L171" i="14" s="1"/>
  <c r="K177" i="14"/>
  <c r="L177" i="14" s="1"/>
  <c r="F179" i="14"/>
  <c r="G179" i="14" s="1"/>
  <c r="K176" i="14"/>
  <c r="L176" i="14" s="1"/>
  <c r="O163" i="14"/>
  <c r="P163" i="14" s="1"/>
  <c r="F163" i="14"/>
  <c r="G163" i="14" s="1"/>
  <c r="O167" i="14"/>
  <c r="P167" i="14" s="1"/>
  <c r="F161" i="14"/>
  <c r="G161" i="14" s="1"/>
  <c r="O169" i="14"/>
  <c r="P169" i="14" s="1"/>
  <c r="O172" i="14"/>
  <c r="P172" i="14" s="1"/>
  <c r="F177" i="14"/>
  <c r="G177" i="14" s="1"/>
  <c r="O178" i="14"/>
  <c r="P178" i="14" s="1"/>
  <c r="K180" i="14"/>
  <c r="L180" i="14" s="1"/>
  <c r="F169" i="14"/>
  <c r="G169" i="14" s="1"/>
  <c r="F178" i="14"/>
  <c r="G178" i="14" s="1"/>
  <c r="O158" i="14"/>
  <c r="P158" i="14" s="1"/>
  <c r="F159" i="14"/>
  <c r="G159" i="14" s="1"/>
  <c r="F162" i="14"/>
  <c r="G162" i="14" s="1"/>
  <c r="F165" i="14"/>
  <c r="G165" i="14" s="1"/>
  <c r="K166" i="14"/>
  <c r="L166" i="14" s="1"/>
  <c r="F183" i="14"/>
  <c r="G183" i="14" s="1"/>
  <c r="O165" i="14"/>
  <c r="P165" i="14" s="1"/>
  <c r="O168" i="14"/>
  <c r="P168" i="14" s="1"/>
  <c r="O184" i="14"/>
  <c r="P184" i="14" s="1"/>
  <c r="K183" i="14"/>
  <c r="L183" i="14" s="1"/>
  <c r="O160" i="14"/>
  <c r="P160" i="14" s="1"/>
  <c r="O173" i="14"/>
  <c r="P173" i="14" s="1"/>
  <c r="F181" i="14"/>
  <c r="G181" i="14" s="1"/>
  <c r="O159" i="14"/>
  <c r="P159" i="14" s="1"/>
  <c r="O166" i="14"/>
  <c r="P166" i="14" s="1"/>
  <c r="F171" i="14"/>
  <c r="G171" i="14" s="1"/>
  <c r="K172" i="14"/>
  <c r="L172" i="14" s="1"/>
  <c r="O176" i="14"/>
  <c r="P176" i="14" s="1"/>
  <c r="O179" i="14"/>
  <c r="P179" i="14" s="1"/>
  <c r="K185" i="14"/>
  <c r="L185" i="14" s="1"/>
  <c r="F167" i="14"/>
  <c r="G167" i="14" s="1"/>
  <c r="F180" i="14"/>
  <c r="G180" i="14" s="1"/>
  <c r="K178" i="14"/>
  <c r="L178" i="14" s="1"/>
  <c r="K181" i="14"/>
  <c r="L181" i="14" s="1"/>
  <c r="O182" i="14"/>
  <c r="P182" i="14" s="1"/>
  <c r="K158" i="14"/>
  <c r="L158" i="14" s="1"/>
  <c r="K163" i="14"/>
  <c r="L163" i="14" s="1"/>
  <c r="F166" i="14"/>
  <c r="G166" i="14" s="1"/>
  <c r="K182" i="14"/>
  <c r="L182" i="14" s="1"/>
  <c r="K162" i="14"/>
  <c r="L162" i="14" s="1"/>
  <c r="K167" i="14"/>
  <c r="L167" i="14" s="1"/>
  <c r="O137" i="14"/>
  <c r="P137" i="14" s="1"/>
  <c r="K168" i="14"/>
  <c r="L168" i="14" s="1"/>
  <c r="F160" i="14"/>
  <c r="G160" i="14" s="1"/>
  <c r="F184" i="14"/>
  <c r="G184" i="14" s="1"/>
  <c r="O113" i="14"/>
  <c r="P113" i="14" s="1"/>
  <c r="F174" i="14"/>
  <c r="G174" i="14" s="1"/>
  <c r="K161" i="14"/>
  <c r="L161" i="14" s="1"/>
  <c r="O131" i="14"/>
  <c r="P131" i="14" s="1"/>
  <c r="K173" i="14"/>
  <c r="L173" i="14" s="1"/>
  <c r="K160" i="14"/>
  <c r="L160" i="14" s="1"/>
  <c r="K165" i="14"/>
  <c r="L165" i="14" s="1"/>
  <c r="F168" i="14"/>
  <c r="G168" i="14" s="1"/>
  <c r="O125" i="14"/>
  <c r="P125" i="14" s="1"/>
  <c r="F158" i="14"/>
  <c r="G158" i="14" s="1"/>
  <c r="K174" i="14"/>
  <c r="L174" i="14" s="1"/>
  <c r="K179" i="14"/>
  <c r="L179" i="14" s="1"/>
  <c r="F182" i="14"/>
  <c r="G182" i="14" s="1"/>
  <c r="K169" i="14"/>
  <c r="L169" i="14" s="1"/>
  <c r="F172" i="14"/>
  <c r="G172" i="14" s="1"/>
  <c r="F111" i="14"/>
  <c r="G111" i="14" s="1"/>
  <c r="F114" i="14"/>
  <c r="G114" i="14" s="1"/>
  <c r="K124" i="14"/>
  <c r="L124" i="14" s="1"/>
  <c r="F129" i="14"/>
  <c r="G129" i="14" s="1"/>
  <c r="K136" i="14"/>
  <c r="L136" i="14" s="1"/>
  <c r="F138" i="14"/>
  <c r="G138" i="14" s="1"/>
  <c r="K138" i="14"/>
  <c r="L138" i="14" s="1"/>
  <c r="K116" i="14"/>
  <c r="L116" i="14" s="1"/>
  <c r="F116" i="14"/>
  <c r="G116" i="14" s="1"/>
  <c r="F122" i="14"/>
  <c r="G122" i="14" s="1"/>
  <c r="K122" i="14"/>
  <c r="L122" i="14" s="1"/>
  <c r="O129" i="14"/>
  <c r="P129" i="14" s="1"/>
  <c r="O132" i="14"/>
  <c r="P132" i="14" s="1"/>
  <c r="K134" i="14"/>
  <c r="L134" i="14" s="1"/>
  <c r="O116" i="14"/>
  <c r="P116" i="14" s="1"/>
  <c r="O122" i="14"/>
  <c r="P122" i="14" s="1"/>
  <c r="K112" i="14"/>
  <c r="L112" i="14" s="1"/>
  <c r="K115" i="14"/>
  <c r="L115" i="14" s="1"/>
  <c r="K118" i="14"/>
  <c r="L118" i="14" s="1"/>
  <c r="K121" i="14"/>
  <c r="L121" i="14" s="1"/>
  <c r="K130" i="14"/>
  <c r="L130" i="14" s="1"/>
  <c r="K133" i="14"/>
  <c r="L133" i="14" s="1"/>
  <c r="O134" i="14"/>
  <c r="P134" i="14" s="1"/>
  <c r="F132" i="14"/>
  <c r="G132" i="14" s="1"/>
  <c r="O118" i="14"/>
  <c r="P118" i="14" s="1"/>
  <c r="O124" i="14"/>
  <c r="P124" i="14" s="1"/>
  <c r="K114" i="14"/>
  <c r="L114" i="14" s="1"/>
  <c r="K126" i="14"/>
  <c r="L126" i="14" s="1"/>
  <c r="K132" i="14"/>
  <c r="L132" i="14" s="1"/>
  <c r="K120" i="14"/>
  <c r="L120" i="14" s="1"/>
  <c r="F115" i="14"/>
  <c r="G115" i="14" s="1"/>
  <c r="F121" i="14"/>
  <c r="G121" i="14" s="1"/>
  <c r="F127" i="14"/>
  <c r="G127" i="14" s="1"/>
  <c r="O135" i="14"/>
  <c r="P135" i="14" s="1"/>
  <c r="F118" i="14"/>
  <c r="G118" i="14" s="1"/>
  <c r="K119" i="14"/>
  <c r="L119" i="14" s="1"/>
  <c r="O120" i="14"/>
  <c r="P120" i="14" s="1"/>
  <c r="F125" i="14"/>
  <c r="G125" i="14" s="1"/>
  <c r="O127" i="14"/>
  <c r="P127" i="14" s="1"/>
  <c r="K129" i="14"/>
  <c r="L129" i="14" s="1"/>
  <c r="F135" i="14"/>
  <c r="G135" i="14" s="1"/>
  <c r="O130" i="14"/>
  <c r="P130" i="14" s="1"/>
  <c r="F124" i="14"/>
  <c r="G124" i="14" s="1"/>
  <c r="K125" i="14"/>
  <c r="L125" i="14" s="1"/>
  <c r="F131" i="14"/>
  <c r="G131" i="14" s="1"/>
  <c r="O133" i="14"/>
  <c r="P133" i="14" s="1"/>
  <c r="K111" i="14"/>
  <c r="L111" i="14" s="1"/>
  <c r="O112" i="14"/>
  <c r="P112" i="14" s="1"/>
  <c r="O119" i="14"/>
  <c r="P119" i="14" s="1"/>
  <c r="O126" i="14"/>
  <c r="P126" i="14" s="1"/>
  <c r="F134" i="14"/>
  <c r="G134" i="14" s="1"/>
  <c r="K135" i="14"/>
  <c r="L135" i="14" s="1"/>
  <c r="O136" i="14"/>
  <c r="P136" i="14" s="1"/>
  <c r="F120" i="14"/>
  <c r="G120" i="14" s="1"/>
  <c r="F113" i="14"/>
  <c r="G113" i="14" s="1"/>
  <c r="O115" i="14"/>
  <c r="P115" i="14" s="1"/>
  <c r="F130" i="14"/>
  <c r="G130" i="14" s="1"/>
  <c r="K131" i="14"/>
  <c r="L131" i="14" s="1"/>
  <c r="F137" i="14"/>
  <c r="G137" i="14" s="1"/>
  <c r="K127" i="14"/>
  <c r="L127" i="14" s="1"/>
  <c r="F133" i="14"/>
  <c r="G133" i="14" s="1"/>
  <c r="O111" i="14"/>
  <c r="P111" i="14" s="1"/>
  <c r="F126" i="14"/>
  <c r="G126" i="14" s="1"/>
  <c r="F112" i="14"/>
  <c r="G112" i="14" s="1"/>
  <c r="K113" i="14"/>
  <c r="L113" i="14" s="1"/>
  <c r="O114" i="14"/>
  <c r="P114" i="14" s="1"/>
  <c r="F119" i="14"/>
  <c r="G119" i="14" s="1"/>
  <c r="O121" i="14"/>
  <c r="P121" i="14" s="1"/>
  <c r="F136" i="14"/>
  <c r="G136" i="14" s="1"/>
  <c r="K137" i="14"/>
  <c r="L137" i="14" s="1"/>
  <c r="K210" i="21" l="1"/>
  <c r="L22" i="21" s="1"/>
  <c r="N22" i="21" s="1"/>
  <c r="M172" i="18"/>
  <c r="O172" i="18" s="1"/>
  <c r="I31" i="18" s="1"/>
  <c r="K31" i="18" s="1"/>
  <c r="M185" i="18"/>
  <c r="P185" i="18" s="1"/>
  <c r="Q64" i="18"/>
  <c r="T64" i="18" s="1"/>
  <c r="M167" i="18"/>
  <c r="P167" i="18" s="1"/>
  <c r="Q69" i="18"/>
  <c r="R69" i="18" s="1"/>
  <c r="M183" i="18"/>
  <c r="O183" i="18" s="1"/>
  <c r="I42" i="18" s="1"/>
  <c r="K42" i="18" s="1"/>
  <c r="Q120" i="18"/>
  <c r="T120" i="18" s="1"/>
  <c r="Q116" i="18"/>
  <c r="R116" i="18" s="1"/>
  <c r="M169" i="18"/>
  <c r="O169" i="18" s="1"/>
  <c r="I28" i="18" s="1"/>
  <c r="K28" i="18" s="1"/>
  <c r="M178" i="18"/>
  <c r="N178" i="18" s="1"/>
  <c r="Q87" i="18"/>
  <c r="R87" i="18" s="1"/>
  <c r="M174" i="18"/>
  <c r="N174" i="18" s="1"/>
  <c r="Q68" i="18"/>
  <c r="R68" i="18" s="1"/>
  <c r="Q125" i="18"/>
  <c r="T125" i="18" s="1"/>
  <c r="M163" i="18"/>
  <c r="N163" i="18" s="1"/>
  <c r="M160" i="18"/>
  <c r="O160" i="18" s="1"/>
  <c r="I19" i="18" s="1"/>
  <c r="K19" i="18" s="1"/>
  <c r="Q66" i="18"/>
  <c r="R66" i="18" s="1"/>
  <c r="Q137" i="18"/>
  <c r="S137" i="18" s="1"/>
  <c r="F43" i="18" s="1"/>
  <c r="H43" i="18" s="1"/>
  <c r="Q129" i="18"/>
  <c r="R129" i="18" s="1"/>
  <c r="Q118" i="18"/>
  <c r="R118" i="18" s="1"/>
  <c r="Q90" i="18"/>
  <c r="S90" i="18" s="1"/>
  <c r="C43" i="18" s="1"/>
  <c r="E43" i="18" s="1"/>
  <c r="M166" i="18"/>
  <c r="O166" i="18" s="1"/>
  <c r="I25" i="18" s="1"/>
  <c r="K25" i="18" s="1"/>
  <c r="M162" i="18"/>
  <c r="N162" i="18" s="1"/>
  <c r="Q113" i="18"/>
  <c r="M181" i="18"/>
  <c r="O181" i="18" s="1"/>
  <c r="I40" i="18" s="1"/>
  <c r="K40" i="18" s="1"/>
  <c r="Q83" i="18"/>
  <c r="R83" i="18" s="1"/>
  <c r="M180" i="18"/>
  <c r="N180" i="18" s="1"/>
  <c r="M161" i="18"/>
  <c r="N161" i="18" s="1"/>
  <c r="M184" i="18"/>
  <c r="P184" i="18" s="1"/>
  <c r="M179" i="18"/>
  <c r="P179" i="18" s="1"/>
  <c r="Q115" i="18"/>
  <c r="S115" i="18" s="1"/>
  <c r="F21" i="18" s="1"/>
  <c r="H21" i="18" s="1"/>
  <c r="Q75" i="18"/>
  <c r="R75" i="18" s="1"/>
  <c r="Q78" i="18"/>
  <c r="S78" i="18" s="1"/>
  <c r="C31" i="18" s="1"/>
  <c r="E31" i="18" s="1"/>
  <c r="Q85" i="18"/>
  <c r="T85" i="18" s="1"/>
  <c r="Q119" i="18"/>
  <c r="T119" i="18" s="1"/>
  <c r="Q80" i="18"/>
  <c r="T80" i="18" s="1"/>
  <c r="Q130" i="18"/>
  <c r="S130" i="18" s="1"/>
  <c r="F36" i="18" s="1"/>
  <c r="H36" i="18" s="1"/>
  <c r="Q71" i="18"/>
  <c r="S71" i="18" s="1"/>
  <c r="C24" i="18" s="1"/>
  <c r="E24" i="18" s="1"/>
  <c r="Q111" i="18"/>
  <c r="S111" i="18" s="1"/>
  <c r="F17" i="18" s="1"/>
  <c r="H17" i="18" s="1"/>
  <c r="Q121" i="18"/>
  <c r="R121" i="18" s="1"/>
  <c r="Q86" i="18"/>
  <c r="S86" i="18" s="1"/>
  <c r="C39" i="18" s="1"/>
  <c r="E39" i="18" s="1"/>
  <c r="Q72" i="18"/>
  <c r="S72" i="18" s="1"/>
  <c r="C25" i="18" s="1"/>
  <c r="E25" i="18" s="1"/>
  <c r="M176" i="18"/>
  <c r="O176" i="18" s="1"/>
  <c r="I35" i="18" s="1"/>
  <c r="K35" i="18" s="1"/>
  <c r="Q112" i="18"/>
  <c r="R112" i="18" s="1"/>
  <c r="Q131" i="18"/>
  <c r="T131" i="18" s="1"/>
  <c r="Q88" i="18"/>
  <c r="T88" i="18" s="1"/>
  <c r="Q79" i="18"/>
  <c r="R79" i="18" s="1"/>
  <c r="Q74" i="18"/>
  <c r="S74" i="18" s="1"/>
  <c r="C27" i="18" s="1"/>
  <c r="E27" i="18" s="1"/>
  <c r="Q132" i="18"/>
  <c r="R132" i="18" s="1"/>
  <c r="Q65" i="18"/>
  <c r="R65" i="18" s="1"/>
  <c r="Q114" i="18"/>
  <c r="T114" i="18" s="1"/>
  <c r="Q133" i="18"/>
  <c r="R133" i="18" s="1"/>
  <c r="Q82" i="18"/>
  <c r="T82" i="18" s="1"/>
  <c r="M173" i="18"/>
  <c r="Q135" i="18"/>
  <c r="R135" i="18" s="1"/>
  <c r="Q77" i="18"/>
  <c r="T77" i="18" s="1"/>
  <c r="Q138" i="18"/>
  <c r="R138" i="18" s="1"/>
  <c r="Q136" i="18"/>
  <c r="R136" i="18" s="1"/>
  <c r="Q91" i="18"/>
  <c r="S91" i="18" s="1"/>
  <c r="C44" i="18" s="1"/>
  <c r="E44" i="18" s="1"/>
  <c r="Q134" i="18"/>
  <c r="S134" i="18" s="1"/>
  <c r="F40" i="18" s="1"/>
  <c r="H40" i="18" s="1"/>
  <c r="Q126" i="18"/>
  <c r="R126" i="18" s="1"/>
  <c r="Q122" i="18"/>
  <c r="T122" i="18" s="1"/>
  <c r="M182" i="18"/>
  <c r="P182" i="18" s="1"/>
  <c r="Q127" i="18"/>
  <c r="S127" i="18" s="1"/>
  <c r="F33" i="18" s="1"/>
  <c r="H33" i="18" s="1"/>
  <c r="M159" i="18"/>
  <c r="Q84" i="18"/>
  <c r="R84" i="18" s="1"/>
  <c r="M158" i="18"/>
  <c r="Q73" i="18"/>
  <c r="R73" i="18" s="1"/>
  <c r="M168" i="18"/>
  <c r="M171" i="18"/>
  <c r="Q124" i="18"/>
  <c r="R124" i="18" s="1"/>
  <c r="Q67" i="18"/>
  <c r="M177" i="18"/>
  <c r="O177" i="18" s="1"/>
  <c r="I36" i="18" s="1"/>
  <c r="K36" i="18" s="1"/>
  <c r="M165" i="18"/>
  <c r="N165" i="18" s="1"/>
  <c r="Q89" i="18"/>
  <c r="S302" i="20"/>
  <c r="R20" i="20" s="1"/>
  <c r="T20" i="20" s="1"/>
  <c r="T326" i="20"/>
  <c r="R301" i="20"/>
  <c r="T301" i="20"/>
  <c r="S312" i="20"/>
  <c r="R30" i="20" s="1"/>
  <c r="T30" i="20" s="1"/>
  <c r="T312" i="20"/>
  <c r="R307" i="20"/>
  <c r="T320" i="20"/>
  <c r="S320" i="20"/>
  <c r="R38" i="20" s="1"/>
  <c r="T38" i="20" s="1"/>
  <c r="T314" i="20"/>
  <c r="R308" i="20"/>
  <c r="T319" i="20"/>
  <c r="T299" i="20"/>
  <c r="R321" i="20"/>
  <c r="R309" i="20"/>
  <c r="R306" i="20"/>
  <c r="S307" i="20"/>
  <c r="R25" i="20" s="1"/>
  <c r="T25" i="20" s="1"/>
  <c r="S306" i="20"/>
  <c r="R24" i="20" s="1"/>
  <c r="T24" i="20" s="1"/>
  <c r="R319" i="20"/>
  <c r="R314" i="20"/>
  <c r="T302" i="20"/>
  <c r="T300" i="20"/>
  <c r="R300" i="20"/>
  <c r="T308" i="20"/>
  <c r="S321" i="20"/>
  <c r="R39" i="20" s="1"/>
  <c r="T39" i="20" s="1"/>
  <c r="S309" i="20"/>
  <c r="R27" i="20" s="1"/>
  <c r="T27" i="20" s="1"/>
  <c r="R317" i="20"/>
  <c r="R313" i="20"/>
  <c r="S317" i="20"/>
  <c r="R35" i="20" s="1"/>
  <c r="T35" i="20" s="1"/>
  <c r="S313" i="20"/>
  <c r="R31" i="20" s="1"/>
  <c r="T31" i="20" s="1"/>
  <c r="R310" i="20"/>
  <c r="S310" i="20"/>
  <c r="R28" i="20" s="1"/>
  <c r="T28" i="20" s="1"/>
  <c r="T324" i="20"/>
  <c r="S324" i="20"/>
  <c r="R42" i="20" s="1"/>
  <c r="T42" i="20" s="1"/>
  <c r="R324" i="20"/>
  <c r="T318" i="20"/>
  <c r="S318" i="20"/>
  <c r="R36" i="20" s="1"/>
  <c r="T36" i="20" s="1"/>
  <c r="R318" i="20"/>
  <c r="R325" i="20"/>
  <c r="T325" i="20"/>
  <c r="S325" i="20"/>
  <c r="R43" i="20" s="1"/>
  <c r="T43" i="20" s="1"/>
  <c r="T323" i="20"/>
  <c r="S323" i="20"/>
  <c r="R41" i="20" s="1"/>
  <c r="T41" i="20" s="1"/>
  <c r="R323" i="20"/>
  <c r="T322" i="20"/>
  <c r="S322" i="20"/>
  <c r="R40" i="20" s="1"/>
  <c r="T40" i="20" s="1"/>
  <c r="R322" i="20"/>
  <c r="T315" i="20"/>
  <c r="S315" i="20"/>
  <c r="R33" i="20" s="1"/>
  <c r="T33" i="20" s="1"/>
  <c r="R315" i="20"/>
  <c r="T303" i="20"/>
  <c r="S303" i="20"/>
  <c r="R21" i="20" s="1"/>
  <c r="T21" i="20" s="1"/>
  <c r="R303" i="20"/>
  <c r="R304" i="20"/>
  <c r="S304" i="20"/>
  <c r="R22" i="20" s="1"/>
  <c r="T22" i="20" s="1"/>
  <c r="T304" i="20"/>
  <c r="M160" i="20"/>
  <c r="N160" i="20" s="1"/>
  <c r="J210" i="21"/>
  <c r="M130" i="21"/>
  <c r="O130" i="21" s="1"/>
  <c r="F36" i="21" s="1"/>
  <c r="H36" i="21" s="1"/>
  <c r="M165" i="21"/>
  <c r="P165" i="21" s="1"/>
  <c r="M163" i="21"/>
  <c r="P163" i="21" s="1"/>
  <c r="M134" i="21"/>
  <c r="P134" i="21" s="1"/>
  <c r="M173" i="21"/>
  <c r="P173" i="21" s="1"/>
  <c r="M176" i="21"/>
  <c r="P176" i="21" s="1"/>
  <c r="M162" i="21"/>
  <c r="P162" i="21" s="1"/>
  <c r="M122" i="21"/>
  <c r="P122" i="21" s="1"/>
  <c r="M116" i="21"/>
  <c r="O116" i="21" s="1"/>
  <c r="F22" i="21" s="1"/>
  <c r="H22" i="21" s="1"/>
  <c r="M180" i="21"/>
  <c r="P180" i="21" s="1"/>
  <c r="M115" i="21"/>
  <c r="N115" i="21" s="1"/>
  <c r="M126" i="21"/>
  <c r="P126" i="21" s="1"/>
  <c r="M132" i="21"/>
  <c r="P132" i="21" s="1"/>
  <c r="M124" i="21"/>
  <c r="P124" i="21" s="1"/>
  <c r="M114" i="21"/>
  <c r="P114" i="21" s="1"/>
  <c r="M112" i="21"/>
  <c r="P112" i="21" s="1"/>
  <c r="Q64" i="21"/>
  <c r="T64" i="21" s="1"/>
  <c r="M174" i="21"/>
  <c r="N174" i="21" s="1"/>
  <c r="M120" i="21"/>
  <c r="P120" i="21" s="1"/>
  <c r="M135" i="21"/>
  <c r="O135" i="21" s="1"/>
  <c r="F41" i="21" s="1"/>
  <c r="H41" i="21" s="1"/>
  <c r="M121" i="21"/>
  <c r="P121" i="21" s="1"/>
  <c r="M111" i="21"/>
  <c r="N111" i="21" s="1"/>
  <c r="Q69" i="21"/>
  <c r="T69" i="21" s="1"/>
  <c r="M178" i="21"/>
  <c r="O178" i="21" s="1"/>
  <c r="I37" i="21" s="1"/>
  <c r="K37" i="21" s="1"/>
  <c r="M184" i="21"/>
  <c r="O184" i="21" s="1"/>
  <c r="I43" i="21" s="1"/>
  <c r="K43" i="21" s="1"/>
  <c r="Q79" i="21"/>
  <c r="T79" i="21" s="1"/>
  <c r="Q80" i="21"/>
  <c r="T80" i="21" s="1"/>
  <c r="M137" i="21"/>
  <c r="P137" i="21" s="1"/>
  <c r="M161" i="21"/>
  <c r="O161" i="21" s="1"/>
  <c r="I20" i="21" s="1"/>
  <c r="K20" i="21" s="1"/>
  <c r="M129" i="21"/>
  <c r="N129" i="21" s="1"/>
  <c r="M113" i="21"/>
  <c r="O113" i="21" s="1"/>
  <c r="F19" i="21" s="1"/>
  <c r="H19" i="21" s="1"/>
  <c r="M133" i="21"/>
  <c r="P133" i="21" s="1"/>
  <c r="Q77" i="21"/>
  <c r="R77" i="21" s="1"/>
  <c r="K216" i="21"/>
  <c r="L28" i="21" s="1"/>
  <c r="N28" i="21" s="1"/>
  <c r="J216" i="21"/>
  <c r="L216" i="21"/>
  <c r="M136" i="21"/>
  <c r="O136" i="21" s="1"/>
  <c r="F42" i="21" s="1"/>
  <c r="H42" i="21" s="1"/>
  <c r="L229" i="21"/>
  <c r="J229" i="21"/>
  <c r="J221" i="21"/>
  <c r="K221" i="21"/>
  <c r="L33" i="21" s="1"/>
  <c r="N33" i="21" s="1"/>
  <c r="Q73" i="21"/>
  <c r="S73" i="21" s="1"/>
  <c r="C26" i="21" s="1"/>
  <c r="E26" i="21" s="1"/>
  <c r="Q90" i="21"/>
  <c r="S90" i="21" s="1"/>
  <c r="C43" i="21" s="1"/>
  <c r="E43" i="21" s="1"/>
  <c r="Q66" i="21"/>
  <c r="T66" i="21" s="1"/>
  <c r="M177" i="21"/>
  <c r="M138" i="21"/>
  <c r="P138" i="21" s="1"/>
  <c r="M179" i="21"/>
  <c r="O179" i="21" s="1"/>
  <c r="I38" i="21" s="1"/>
  <c r="K38" i="21" s="1"/>
  <c r="Q74" i="21"/>
  <c r="T74" i="21" s="1"/>
  <c r="M172" i="21"/>
  <c r="M118" i="21"/>
  <c r="P118" i="21" s="1"/>
  <c r="M167" i="21"/>
  <c r="P167" i="21" s="1"/>
  <c r="J230" i="21"/>
  <c r="L230" i="21"/>
  <c r="K230" i="21"/>
  <c r="L42" i="21" s="1"/>
  <c r="N42" i="21" s="1"/>
  <c r="M125" i="20"/>
  <c r="N125" i="20" s="1"/>
  <c r="Q87" i="21"/>
  <c r="S87" i="21" s="1"/>
  <c r="C40" i="21" s="1"/>
  <c r="E40" i="21" s="1"/>
  <c r="Q83" i="21"/>
  <c r="R83" i="21" s="1"/>
  <c r="Q71" i="21"/>
  <c r="T71" i="21" s="1"/>
  <c r="M171" i="21"/>
  <c r="O171" i="21" s="1"/>
  <c r="I30" i="21" s="1"/>
  <c r="K30" i="21" s="1"/>
  <c r="Q84" i="21"/>
  <c r="R84" i="21" s="1"/>
  <c r="M181" i="21"/>
  <c r="N181" i="21" s="1"/>
  <c r="Q65" i="21"/>
  <c r="S65" i="21" s="1"/>
  <c r="C18" i="21" s="1"/>
  <c r="E18" i="21" s="1"/>
  <c r="L223" i="21"/>
  <c r="M169" i="21"/>
  <c r="O169" i="21" s="1"/>
  <c r="I28" i="21" s="1"/>
  <c r="K28" i="21" s="1"/>
  <c r="Q72" i="21"/>
  <c r="S72" i="21" s="1"/>
  <c r="C25" i="21" s="1"/>
  <c r="E25" i="21" s="1"/>
  <c r="M119" i="21"/>
  <c r="O119" i="21" s="1"/>
  <c r="F25" i="21" s="1"/>
  <c r="H25" i="21" s="1"/>
  <c r="Q75" i="21"/>
  <c r="S75" i="21" s="1"/>
  <c r="C28" i="21" s="1"/>
  <c r="E28" i="21" s="1"/>
  <c r="L231" i="21"/>
  <c r="K231" i="21"/>
  <c r="L43" i="21" s="1"/>
  <c r="N43" i="21" s="1"/>
  <c r="J231" i="21"/>
  <c r="L206" i="21"/>
  <c r="K206" i="21"/>
  <c r="L18" i="21" s="1"/>
  <c r="N18" i="21" s="1"/>
  <c r="J206" i="21"/>
  <c r="L227" i="21"/>
  <c r="K227" i="21"/>
  <c r="L39" i="21" s="1"/>
  <c r="N39" i="21" s="1"/>
  <c r="J227" i="21"/>
  <c r="J215" i="21"/>
  <c r="L215" i="21"/>
  <c r="K215" i="21"/>
  <c r="L27" i="21" s="1"/>
  <c r="N27" i="21" s="1"/>
  <c r="M158" i="21"/>
  <c r="P158" i="21" s="1"/>
  <c r="M131" i="21"/>
  <c r="Q67" i="21"/>
  <c r="S67" i="21" s="1"/>
  <c r="C20" i="21" s="1"/>
  <c r="E20" i="21" s="1"/>
  <c r="J209" i="21"/>
  <c r="K209" i="21"/>
  <c r="L21" i="21" s="1"/>
  <c r="N21" i="21" s="1"/>
  <c r="Q82" i="21"/>
  <c r="S82" i="21" s="1"/>
  <c r="C35" i="21" s="1"/>
  <c r="E35" i="21" s="1"/>
  <c r="M166" i="21"/>
  <c r="P166" i="21" s="1"/>
  <c r="K273" i="20"/>
  <c r="O38" i="20" s="1"/>
  <c r="Q38" i="20" s="1"/>
  <c r="M125" i="21"/>
  <c r="N125" i="21" s="1"/>
  <c r="M127" i="21"/>
  <c r="O127" i="21" s="1"/>
  <c r="F33" i="21" s="1"/>
  <c r="H33" i="21" s="1"/>
  <c r="Q89" i="21"/>
  <c r="S89" i="21" s="1"/>
  <c r="C42" i="21" s="1"/>
  <c r="E42" i="21" s="1"/>
  <c r="Q68" i="21"/>
  <c r="T68" i="21" s="1"/>
  <c r="K223" i="21"/>
  <c r="L35" i="21" s="1"/>
  <c r="N35" i="21" s="1"/>
  <c r="Q86" i="21"/>
  <c r="T86" i="21" s="1"/>
  <c r="M182" i="21"/>
  <c r="M126" i="20"/>
  <c r="N126" i="20" s="1"/>
  <c r="M160" i="21"/>
  <c r="Q88" i="21"/>
  <c r="M185" i="21"/>
  <c r="M168" i="21"/>
  <c r="Q91" i="21"/>
  <c r="T91" i="21" s="1"/>
  <c r="Q78" i="21"/>
  <c r="T78" i="21" s="1"/>
  <c r="M119" i="20"/>
  <c r="P119" i="20" s="1"/>
  <c r="Q85" i="21"/>
  <c r="R85" i="21" s="1"/>
  <c r="K208" i="21"/>
  <c r="L20" i="21" s="1"/>
  <c r="N20" i="21" s="1"/>
  <c r="L208" i="21"/>
  <c r="J208" i="21"/>
  <c r="M118" i="20"/>
  <c r="O118" i="20" s="1"/>
  <c r="F24" i="20" s="1"/>
  <c r="H24" i="20" s="1"/>
  <c r="M183" i="21"/>
  <c r="L228" i="21"/>
  <c r="M162" i="20"/>
  <c r="P162" i="20" s="1"/>
  <c r="M180" i="20"/>
  <c r="N180" i="20" s="1"/>
  <c r="J228" i="21"/>
  <c r="M159" i="21"/>
  <c r="J205" i="21"/>
  <c r="K205" i="21"/>
  <c r="L17" i="21" s="1"/>
  <c r="N17" i="21" s="1"/>
  <c r="L220" i="21"/>
  <c r="K220" i="21"/>
  <c r="L32" i="21" s="1"/>
  <c r="N32" i="21" s="1"/>
  <c r="J220" i="21"/>
  <c r="L212" i="21"/>
  <c r="K212" i="21"/>
  <c r="L24" i="21" s="1"/>
  <c r="N24" i="21" s="1"/>
  <c r="J212" i="21"/>
  <c r="M129" i="20"/>
  <c r="O129" i="20" s="1"/>
  <c r="F35" i="20" s="1"/>
  <c r="H35" i="20" s="1"/>
  <c r="L218" i="21"/>
  <c r="K218" i="21"/>
  <c r="L30" i="21" s="1"/>
  <c r="N30" i="21" s="1"/>
  <c r="J218" i="21"/>
  <c r="L219" i="21"/>
  <c r="K219" i="21"/>
  <c r="L31" i="21" s="1"/>
  <c r="N31" i="21" s="1"/>
  <c r="J219" i="21"/>
  <c r="L214" i="21"/>
  <c r="K214" i="21"/>
  <c r="L26" i="21" s="1"/>
  <c r="N26" i="21" s="1"/>
  <c r="J214" i="21"/>
  <c r="L232" i="21"/>
  <c r="K232" i="21"/>
  <c r="L44" i="21" s="1"/>
  <c r="N44" i="21" s="1"/>
  <c r="J232" i="21"/>
  <c r="L226" i="21"/>
  <c r="K226" i="21"/>
  <c r="L38" i="21" s="1"/>
  <c r="N38" i="21" s="1"/>
  <c r="J226" i="21"/>
  <c r="L213" i="21"/>
  <c r="K213" i="21"/>
  <c r="L25" i="21" s="1"/>
  <c r="N25" i="21" s="1"/>
  <c r="J213" i="21"/>
  <c r="L207" i="21"/>
  <c r="K207" i="21"/>
  <c r="L19" i="21" s="1"/>
  <c r="N19" i="21" s="1"/>
  <c r="J207" i="21"/>
  <c r="L224" i="21"/>
  <c r="K224" i="21"/>
  <c r="L36" i="21" s="1"/>
  <c r="N36" i="21" s="1"/>
  <c r="J224" i="21"/>
  <c r="L225" i="21"/>
  <c r="K225" i="21"/>
  <c r="L37" i="21" s="1"/>
  <c r="N37" i="21" s="1"/>
  <c r="J225" i="21"/>
  <c r="M159" i="20"/>
  <c r="O159" i="20" s="1"/>
  <c r="I18" i="20" s="1"/>
  <c r="K18" i="20" s="1"/>
  <c r="L210" i="20"/>
  <c r="J210" i="20"/>
  <c r="M132" i="20"/>
  <c r="P132" i="20" s="1"/>
  <c r="M178" i="20"/>
  <c r="N178" i="20" s="1"/>
  <c r="M112" i="20"/>
  <c r="O112" i="20" s="1"/>
  <c r="F18" i="20" s="1"/>
  <c r="H18" i="20" s="1"/>
  <c r="Q88" i="20"/>
  <c r="R88" i="20" s="1"/>
  <c r="J205" i="20"/>
  <c r="M138" i="20"/>
  <c r="P138" i="20" s="1"/>
  <c r="Q82" i="20"/>
  <c r="T82" i="20" s="1"/>
  <c r="M167" i="20"/>
  <c r="N167" i="20" s="1"/>
  <c r="M177" i="20"/>
  <c r="P177" i="20" s="1"/>
  <c r="L255" i="20"/>
  <c r="Q77" i="20"/>
  <c r="R77" i="20" s="1"/>
  <c r="M115" i="20"/>
  <c r="O115" i="20" s="1"/>
  <c r="F21" i="20" s="1"/>
  <c r="H21" i="20" s="1"/>
  <c r="Q80" i="20"/>
  <c r="T80" i="20" s="1"/>
  <c r="Q84" i="20"/>
  <c r="T84" i="20" s="1"/>
  <c r="M169" i="20"/>
  <c r="O169" i="20" s="1"/>
  <c r="I28" i="20" s="1"/>
  <c r="K28" i="20" s="1"/>
  <c r="M161" i="20"/>
  <c r="N161" i="20" s="1"/>
  <c r="M168" i="20"/>
  <c r="O168" i="20" s="1"/>
  <c r="I27" i="20" s="1"/>
  <c r="K27" i="20" s="1"/>
  <c r="M130" i="20"/>
  <c r="P130" i="20" s="1"/>
  <c r="Q90" i="20"/>
  <c r="T90" i="20" s="1"/>
  <c r="K224" i="20"/>
  <c r="L36" i="20" s="1"/>
  <c r="N36" i="20" s="1"/>
  <c r="K267" i="20"/>
  <c r="O32" i="20" s="1"/>
  <c r="Q32" i="20" s="1"/>
  <c r="M165" i="20"/>
  <c r="P165" i="20" s="1"/>
  <c r="J218" i="20"/>
  <c r="M174" i="20"/>
  <c r="P174" i="20" s="1"/>
  <c r="M166" i="20"/>
  <c r="P166" i="20" s="1"/>
  <c r="M158" i="20"/>
  <c r="N158" i="20" s="1"/>
  <c r="J267" i="20"/>
  <c r="J212" i="20"/>
  <c r="K212" i="20"/>
  <c r="L24" i="20" s="1"/>
  <c r="N24" i="20" s="1"/>
  <c r="J224" i="20"/>
  <c r="Q89" i="20"/>
  <c r="R89" i="20" s="1"/>
  <c r="M131" i="20"/>
  <c r="P131" i="20" s="1"/>
  <c r="M182" i="20"/>
  <c r="N182" i="20" s="1"/>
  <c r="M114" i="20"/>
  <c r="P114" i="20" s="1"/>
  <c r="Q71" i="20"/>
  <c r="T71" i="20" s="1"/>
  <c r="K218" i="20"/>
  <c r="L30" i="20" s="1"/>
  <c r="N30" i="20" s="1"/>
  <c r="Q72" i="20"/>
  <c r="T72" i="20" s="1"/>
  <c r="L205" i="20"/>
  <c r="M121" i="20"/>
  <c r="O121" i="20" s="1"/>
  <c r="F27" i="20" s="1"/>
  <c r="H27" i="20" s="1"/>
  <c r="M137" i="20"/>
  <c r="O137" i="20" s="1"/>
  <c r="F43" i="20" s="1"/>
  <c r="H43" i="20" s="1"/>
  <c r="J277" i="20"/>
  <c r="K277" i="20"/>
  <c r="O42" i="20" s="1"/>
  <c r="Q42" i="20" s="1"/>
  <c r="J265" i="20"/>
  <c r="K265" i="20"/>
  <c r="O30" i="20" s="1"/>
  <c r="Q30" i="20" s="1"/>
  <c r="M135" i="20"/>
  <c r="P135" i="20" s="1"/>
  <c r="M185" i="20"/>
  <c r="O185" i="20" s="1"/>
  <c r="I44" i="20" s="1"/>
  <c r="K44" i="20" s="1"/>
  <c r="M116" i="20"/>
  <c r="O116" i="20" s="1"/>
  <c r="F22" i="20" s="1"/>
  <c r="H22" i="20" s="1"/>
  <c r="M183" i="20"/>
  <c r="P183" i="20" s="1"/>
  <c r="J221" i="20"/>
  <c r="Q91" i="20"/>
  <c r="S91" i="20" s="1"/>
  <c r="C44" i="20" s="1"/>
  <c r="E44" i="20" s="1"/>
  <c r="Q75" i="20"/>
  <c r="S75" i="20" s="1"/>
  <c r="C28" i="20" s="1"/>
  <c r="E28" i="20" s="1"/>
  <c r="J276" i="20"/>
  <c r="L278" i="20"/>
  <c r="L253" i="20"/>
  <c r="M176" i="20"/>
  <c r="P176" i="20" s="1"/>
  <c r="Q78" i="20"/>
  <c r="R78" i="20" s="1"/>
  <c r="K276" i="20"/>
  <c r="O41" i="20" s="1"/>
  <c r="Q41" i="20" s="1"/>
  <c r="Q67" i="20"/>
  <c r="S67" i="20" s="1"/>
  <c r="C20" i="20" s="1"/>
  <c r="E20" i="20" s="1"/>
  <c r="L212" i="20"/>
  <c r="J271" i="20"/>
  <c r="J261" i="20"/>
  <c r="M113" i="20"/>
  <c r="O113" i="20" s="1"/>
  <c r="F19" i="20" s="1"/>
  <c r="H19" i="20" s="1"/>
  <c r="Q66" i="20"/>
  <c r="S66" i="20" s="1"/>
  <c r="C19" i="20" s="1"/>
  <c r="E19" i="20" s="1"/>
  <c r="K261" i="20"/>
  <c r="O26" i="20" s="1"/>
  <c r="Q26" i="20" s="1"/>
  <c r="L230" i="20"/>
  <c r="K208" i="20"/>
  <c r="L20" i="20" s="1"/>
  <c r="N20" i="20" s="1"/>
  <c r="J208" i="20"/>
  <c r="L208" i="20"/>
  <c r="K226" i="20"/>
  <c r="L38" i="20" s="1"/>
  <c r="N38" i="20" s="1"/>
  <c r="L226" i="20"/>
  <c r="L228" i="20"/>
  <c r="M111" i="20"/>
  <c r="M133" i="20"/>
  <c r="O133" i="20" s="1"/>
  <c r="F39" i="20" s="1"/>
  <c r="H39" i="20" s="1"/>
  <c r="M173" i="20"/>
  <c r="O173" i="20" s="1"/>
  <c r="I32" i="20" s="1"/>
  <c r="K32" i="20" s="1"/>
  <c r="M124" i="20"/>
  <c r="Q68" i="20"/>
  <c r="R68" i="20" s="1"/>
  <c r="K216" i="20"/>
  <c r="L28" i="20" s="1"/>
  <c r="N28" i="20" s="1"/>
  <c r="Q74" i="20"/>
  <c r="T74" i="20" s="1"/>
  <c r="L216" i="20"/>
  <c r="M163" i="20"/>
  <c r="P163" i="20" s="1"/>
  <c r="Q69" i="20"/>
  <c r="T69" i="20" s="1"/>
  <c r="Q65" i="20"/>
  <c r="T65" i="20" s="1"/>
  <c r="Q79" i="20"/>
  <c r="S79" i="20" s="1"/>
  <c r="C32" i="20" s="1"/>
  <c r="E32" i="20" s="1"/>
  <c r="Q64" i="20"/>
  <c r="T64" i="20" s="1"/>
  <c r="K259" i="20"/>
  <c r="O24" i="20" s="1"/>
  <c r="Q24" i="20" s="1"/>
  <c r="L259" i="20"/>
  <c r="J259" i="20"/>
  <c r="K221" i="20"/>
  <c r="L33" i="20" s="1"/>
  <c r="N33" i="20" s="1"/>
  <c r="K271" i="20"/>
  <c r="O36" i="20" s="1"/>
  <c r="Q36" i="20" s="1"/>
  <c r="Q73" i="20"/>
  <c r="R73" i="20" s="1"/>
  <c r="M184" i="20"/>
  <c r="J228" i="20"/>
  <c r="M171" i="20"/>
  <c r="L206" i="20"/>
  <c r="L273" i="20"/>
  <c r="J255" i="20"/>
  <c r="M172" i="20"/>
  <c r="O172" i="20" s="1"/>
  <c r="I31" i="20" s="1"/>
  <c r="K31" i="20" s="1"/>
  <c r="Q87" i="20"/>
  <c r="S87" i="20" s="1"/>
  <c r="C40" i="20" s="1"/>
  <c r="E40" i="20" s="1"/>
  <c r="Q85" i="20"/>
  <c r="R85" i="20" s="1"/>
  <c r="M136" i="20"/>
  <c r="P136" i="20" s="1"/>
  <c r="L231" i="20"/>
  <c r="K231" i="20"/>
  <c r="L43" i="20" s="1"/>
  <c r="N43" i="20" s="1"/>
  <c r="J231" i="20"/>
  <c r="J213" i="20"/>
  <c r="K213" i="20"/>
  <c r="L25" i="20" s="1"/>
  <c r="N25" i="20" s="1"/>
  <c r="L213" i="20"/>
  <c r="M182" i="15"/>
  <c r="P182" i="15" s="1"/>
  <c r="J226" i="20"/>
  <c r="J206" i="20"/>
  <c r="J230" i="20"/>
  <c r="J253" i="20"/>
  <c r="L265" i="20"/>
  <c r="M122" i="20"/>
  <c r="L229" i="20"/>
  <c r="M181" i="20"/>
  <c r="M134" i="20"/>
  <c r="J229" i="20"/>
  <c r="L223" i="20"/>
  <c r="M127" i="20"/>
  <c r="L266" i="20"/>
  <c r="J223" i="20"/>
  <c r="Q86" i="20"/>
  <c r="K278" i="20"/>
  <c r="O43" i="20" s="1"/>
  <c r="Q43" i="20" s="1"/>
  <c r="J266" i="20"/>
  <c r="Q83" i="20"/>
  <c r="M120" i="20"/>
  <c r="M179" i="20"/>
  <c r="L270" i="20"/>
  <c r="K270" i="20"/>
  <c r="O35" i="20" s="1"/>
  <c r="Q35" i="20" s="1"/>
  <c r="J270" i="20"/>
  <c r="J272" i="20"/>
  <c r="L272" i="20"/>
  <c r="K272" i="20"/>
  <c r="O37" i="20" s="1"/>
  <c r="Q37" i="20" s="1"/>
  <c r="L256" i="20"/>
  <c r="K256" i="20"/>
  <c r="O21" i="20" s="1"/>
  <c r="Q21" i="20" s="1"/>
  <c r="J256" i="20"/>
  <c r="L262" i="20"/>
  <c r="K262" i="20"/>
  <c r="O27" i="20" s="1"/>
  <c r="Q27" i="20" s="1"/>
  <c r="J262" i="20"/>
  <c r="L252" i="20"/>
  <c r="K252" i="20"/>
  <c r="O17" i="20" s="1"/>
  <c r="Q17" i="20" s="1"/>
  <c r="J252" i="20"/>
  <c r="L232" i="20"/>
  <c r="K232" i="20"/>
  <c r="L44" i="20" s="1"/>
  <c r="N44" i="20" s="1"/>
  <c r="J232" i="20"/>
  <c r="L257" i="20"/>
  <c r="K257" i="20"/>
  <c r="O22" i="20" s="1"/>
  <c r="Q22" i="20" s="1"/>
  <c r="J257" i="20"/>
  <c r="L225" i="20"/>
  <c r="K225" i="20"/>
  <c r="L37" i="20" s="1"/>
  <c r="N37" i="20" s="1"/>
  <c r="J225" i="20"/>
  <c r="L227" i="20"/>
  <c r="K227" i="20"/>
  <c r="L39" i="20" s="1"/>
  <c r="N39" i="20" s="1"/>
  <c r="J227" i="20"/>
  <c r="L220" i="20"/>
  <c r="K220" i="20"/>
  <c r="L32" i="20" s="1"/>
  <c r="N32" i="20" s="1"/>
  <c r="J220" i="20"/>
  <c r="L279" i="20"/>
  <c r="K279" i="20"/>
  <c r="O44" i="20" s="1"/>
  <c r="Q44" i="20" s="1"/>
  <c r="J279" i="20"/>
  <c r="L219" i="20"/>
  <c r="K219" i="20"/>
  <c r="L31" i="20" s="1"/>
  <c r="N31" i="20" s="1"/>
  <c r="J219" i="20"/>
  <c r="L215" i="20"/>
  <c r="K215" i="20"/>
  <c r="L27" i="20" s="1"/>
  <c r="N27" i="20" s="1"/>
  <c r="J215" i="20"/>
  <c r="L214" i="20"/>
  <c r="K214" i="20"/>
  <c r="L26" i="20" s="1"/>
  <c r="N26" i="20" s="1"/>
  <c r="J214" i="20"/>
  <c r="L207" i="20"/>
  <c r="K207" i="20"/>
  <c r="L19" i="20" s="1"/>
  <c r="N19" i="20" s="1"/>
  <c r="J207" i="20"/>
  <c r="L209" i="20"/>
  <c r="K209" i="20"/>
  <c r="L21" i="20" s="1"/>
  <c r="N21" i="20" s="1"/>
  <c r="J209" i="20"/>
  <c r="L274" i="20"/>
  <c r="K274" i="20"/>
  <c r="O39" i="20" s="1"/>
  <c r="Q39" i="20" s="1"/>
  <c r="J274" i="20"/>
  <c r="J254" i="20"/>
  <c r="L254" i="20"/>
  <c r="K254" i="20"/>
  <c r="O19" i="20" s="1"/>
  <c r="Q19" i="20" s="1"/>
  <c r="L268" i="20"/>
  <c r="K268" i="20"/>
  <c r="O33" i="20" s="1"/>
  <c r="Q33" i="20" s="1"/>
  <c r="J268" i="20"/>
  <c r="L263" i="20"/>
  <c r="K263" i="20"/>
  <c r="O28" i="20" s="1"/>
  <c r="Q28" i="20" s="1"/>
  <c r="J263" i="20"/>
  <c r="J260" i="20"/>
  <c r="L260" i="20"/>
  <c r="K260" i="20"/>
  <c r="O25" i="20" s="1"/>
  <c r="Q25" i="20" s="1"/>
  <c r="L275" i="20"/>
  <c r="K275" i="20"/>
  <c r="O40" i="20" s="1"/>
  <c r="Q40" i="20" s="1"/>
  <c r="J275" i="20"/>
  <c r="M168" i="15"/>
  <c r="P168" i="15" s="1"/>
  <c r="K271" i="15"/>
  <c r="O36" i="15" s="1"/>
  <c r="Q36" i="15" s="1"/>
  <c r="L271" i="15"/>
  <c r="J259" i="15"/>
  <c r="K253" i="15"/>
  <c r="O18" i="15" s="1"/>
  <c r="Q18" i="15" s="1"/>
  <c r="J277" i="15"/>
  <c r="J266" i="15"/>
  <c r="J257" i="15"/>
  <c r="K257" i="15"/>
  <c r="O22" i="15" s="1"/>
  <c r="Q22" i="15" s="1"/>
  <c r="K254" i="15"/>
  <c r="O19" i="15" s="1"/>
  <c r="Q19" i="15" s="1"/>
  <c r="J254" i="15"/>
  <c r="J263" i="15"/>
  <c r="L263" i="15"/>
  <c r="K263" i="15"/>
  <c r="O28" i="15" s="1"/>
  <c r="Q28" i="15" s="1"/>
  <c r="L268" i="15"/>
  <c r="K268" i="15"/>
  <c r="O33" i="15" s="1"/>
  <c r="Q33" i="15" s="1"/>
  <c r="J268" i="15"/>
  <c r="J275" i="15"/>
  <c r="L275" i="15"/>
  <c r="K275" i="15"/>
  <c r="O40" i="15" s="1"/>
  <c r="Q40" i="15" s="1"/>
  <c r="K265" i="15"/>
  <c r="O30" i="15" s="1"/>
  <c r="Q30" i="15" s="1"/>
  <c r="L265" i="15"/>
  <c r="J261" i="15"/>
  <c r="L261" i="15"/>
  <c r="K261" i="15"/>
  <c r="O26" i="15" s="1"/>
  <c r="Q26" i="15" s="1"/>
  <c r="J260" i="15"/>
  <c r="L260" i="15"/>
  <c r="L252" i="15"/>
  <c r="K252" i="15"/>
  <c r="O17" i="15" s="1"/>
  <c r="Q17" i="15" s="1"/>
  <c r="J252" i="15"/>
  <c r="K267" i="15"/>
  <c r="O32" i="15" s="1"/>
  <c r="Q32" i="15" s="1"/>
  <c r="L267" i="15"/>
  <c r="J274" i="15"/>
  <c r="K259" i="15"/>
  <c r="O24" i="15" s="1"/>
  <c r="Q24" i="15" s="1"/>
  <c r="L253" i="15"/>
  <c r="K277" i="15"/>
  <c r="O42" i="15" s="1"/>
  <c r="Q42" i="15" s="1"/>
  <c r="L266" i="15"/>
  <c r="L257" i="15"/>
  <c r="K274" i="15"/>
  <c r="O39" i="15" s="1"/>
  <c r="Q39" i="15" s="1"/>
  <c r="K260" i="15"/>
  <c r="O25" i="15" s="1"/>
  <c r="Q25" i="15" s="1"/>
  <c r="L270" i="15"/>
  <c r="K270" i="15"/>
  <c r="O35" i="15" s="1"/>
  <c r="Q35" i="15" s="1"/>
  <c r="J270" i="15"/>
  <c r="L279" i="15"/>
  <c r="K279" i="15"/>
  <c r="O44" i="15" s="1"/>
  <c r="Q44" i="15" s="1"/>
  <c r="J279" i="15"/>
  <c r="L276" i="15"/>
  <c r="K276" i="15"/>
  <c r="O41" i="15" s="1"/>
  <c r="Q41" i="15" s="1"/>
  <c r="J276" i="15"/>
  <c r="J272" i="15"/>
  <c r="K272" i="15"/>
  <c r="O37" i="15" s="1"/>
  <c r="Q37" i="15" s="1"/>
  <c r="L272" i="15"/>
  <c r="L273" i="15"/>
  <c r="K273" i="15"/>
  <c r="O38" i="15" s="1"/>
  <c r="Q38" i="15" s="1"/>
  <c r="J273" i="15"/>
  <c r="L256" i="15"/>
  <c r="K256" i="15"/>
  <c r="O21" i="15" s="1"/>
  <c r="Q21" i="15" s="1"/>
  <c r="J256" i="15"/>
  <c r="L262" i="15"/>
  <c r="K262" i="15"/>
  <c r="O27" i="15" s="1"/>
  <c r="Q27" i="15" s="1"/>
  <c r="J262" i="15"/>
  <c r="J278" i="15"/>
  <c r="L278" i="15"/>
  <c r="K278" i="15"/>
  <c r="O43" i="15" s="1"/>
  <c r="Q43" i="15" s="1"/>
  <c r="L255" i="15"/>
  <c r="K255" i="15"/>
  <c r="O20" i="15" s="1"/>
  <c r="Q20" i="15" s="1"/>
  <c r="J255" i="15"/>
  <c r="I205" i="15"/>
  <c r="K205" i="15" s="1"/>
  <c r="L17" i="15" s="1"/>
  <c r="N17" i="15" s="1"/>
  <c r="I227" i="15"/>
  <c r="J227" i="15" s="1"/>
  <c r="I210" i="15"/>
  <c r="K210" i="15" s="1"/>
  <c r="L22" i="15" s="1"/>
  <c r="N22" i="15" s="1"/>
  <c r="I224" i="15"/>
  <c r="K224" i="15" s="1"/>
  <c r="L36" i="15" s="1"/>
  <c r="N36" i="15" s="1"/>
  <c r="I215" i="15"/>
  <c r="K215" i="15" s="1"/>
  <c r="L27" i="15" s="1"/>
  <c r="N27" i="15" s="1"/>
  <c r="I232" i="15"/>
  <c r="L232" i="15" s="1"/>
  <c r="I218" i="15"/>
  <c r="L218" i="15" s="1"/>
  <c r="I226" i="15"/>
  <c r="J226" i="15" s="1"/>
  <c r="I225" i="15"/>
  <c r="L225" i="15" s="1"/>
  <c r="I214" i="15"/>
  <c r="K214" i="15" s="1"/>
  <c r="L26" i="15" s="1"/>
  <c r="N26" i="15" s="1"/>
  <c r="I220" i="15"/>
  <c r="K220" i="15" s="1"/>
  <c r="L32" i="15" s="1"/>
  <c r="N32" i="15" s="1"/>
  <c r="I212" i="15"/>
  <c r="L212" i="15" s="1"/>
  <c r="I219" i="15"/>
  <c r="J219" i="15" s="1"/>
  <c r="I213" i="15"/>
  <c r="K213" i="15" s="1"/>
  <c r="L25" i="15" s="1"/>
  <c r="N25" i="15" s="1"/>
  <c r="I208" i="15"/>
  <c r="L208" i="15" s="1"/>
  <c r="I223" i="15"/>
  <c r="L223" i="15" s="1"/>
  <c r="I231" i="15"/>
  <c r="L231" i="15" s="1"/>
  <c r="I221" i="15"/>
  <c r="L221" i="15" s="1"/>
  <c r="I209" i="15"/>
  <c r="J209" i="15" s="1"/>
  <c r="I216" i="15"/>
  <c r="J216" i="15" s="1"/>
  <c r="I230" i="15"/>
  <c r="K230" i="15" s="1"/>
  <c r="L42" i="15" s="1"/>
  <c r="N42" i="15" s="1"/>
  <c r="I206" i="15"/>
  <c r="I229" i="15"/>
  <c r="I228" i="15"/>
  <c r="J228" i="15" s="1"/>
  <c r="M160" i="15"/>
  <c r="O160" i="15" s="1"/>
  <c r="I19" i="15" s="1"/>
  <c r="K19" i="15" s="1"/>
  <c r="I207" i="15"/>
  <c r="K207" i="15" s="1"/>
  <c r="L19" i="15" s="1"/>
  <c r="N19" i="15" s="1"/>
  <c r="M165" i="15"/>
  <c r="O165" i="15" s="1"/>
  <c r="I24" i="15" s="1"/>
  <c r="K24" i="15" s="1"/>
  <c r="M169" i="15"/>
  <c r="O169" i="15" s="1"/>
  <c r="I28" i="15" s="1"/>
  <c r="K28" i="15" s="1"/>
  <c r="M158" i="15"/>
  <c r="P158" i="15" s="1"/>
  <c r="M171" i="15"/>
  <c r="O171" i="15" s="1"/>
  <c r="I30" i="15" s="1"/>
  <c r="K30" i="15" s="1"/>
  <c r="M163" i="15"/>
  <c r="P163" i="15" s="1"/>
  <c r="M161" i="15"/>
  <c r="O161" i="15" s="1"/>
  <c r="I20" i="15" s="1"/>
  <c r="K20" i="15" s="1"/>
  <c r="M180" i="15"/>
  <c r="O180" i="15" s="1"/>
  <c r="I39" i="15" s="1"/>
  <c r="K39" i="15" s="1"/>
  <c r="M176" i="15"/>
  <c r="P176" i="15" s="1"/>
  <c r="M173" i="15"/>
  <c r="P173" i="15" s="1"/>
  <c r="M184" i="15"/>
  <c r="P184" i="15" s="1"/>
  <c r="M179" i="15"/>
  <c r="O179" i="15" s="1"/>
  <c r="I38" i="15" s="1"/>
  <c r="K38" i="15" s="1"/>
  <c r="M177" i="15"/>
  <c r="O177" i="15" s="1"/>
  <c r="I36" i="15" s="1"/>
  <c r="K36" i="15" s="1"/>
  <c r="M159" i="15"/>
  <c r="P159" i="15" s="1"/>
  <c r="M185" i="15"/>
  <c r="P185" i="15" s="1"/>
  <c r="M174" i="15"/>
  <c r="N174" i="15" s="1"/>
  <c r="M166" i="15"/>
  <c r="N166" i="15" s="1"/>
  <c r="M172" i="15"/>
  <c r="P172" i="15" s="1"/>
  <c r="M162" i="15"/>
  <c r="N162" i="15" s="1"/>
  <c r="M183" i="15"/>
  <c r="P183" i="15" s="1"/>
  <c r="M181" i="15"/>
  <c r="O181" i="15" s="1"/>
  <c r="I40" i="15" s="1"/>
  <c r="K40" i="15" s="1"/>
  <c r="M178" i="15"/>
  <c r="O178" i="15" s="1"/>
  <c r="I37" i="15" s="1"/>
  <c r="K37" i="15" s="1"/>
  <c r="M167" i="15"/>
  <c r="M118" i="15"/>
  <c r="P118" i="15" s="1"/>
  <c r="M120" i="15"/>
  <c r="P120" i="15" s="1"/>
  <c r="M122" i="15"/>
  <c r="P122" i="15" s="1"/>
  <c r="M112" i="15"/>
  <c r="P112" i="15" s="1"/>
  <c r="M111" i="15"/>
  <c r="P111" i="15" s="1"/>
  <c r="M133" i="15"/>
  <c r="O133" i="15" s="1"/>
  <c r="Q84" i="15"/>
  <c r="T84" i="15" s="1"/>
  <c r="M131" i="15"/>
  <c r="P131" i="15" s="1"/>
  <c r="M126" i="15"/>
  <c r="P126" i="15" s="1"/>
  <c r="M125" i="15"/>
  <c r="P125" i="15" s="1"/>
  <c r="M129" i="15"/>
  <c r="P129" i="15" s="1"/>
  <c r="M135" i="15"/>
  <c r="N135" i="15" s="1"/>
  <c r="M137" i="15"/>
  <c r="N137" i="15" s="1"/>
  <c r="M113" i="15"/>
  <c r="P113" i="15" s="1"/>
  <c r="M130" i="15"/>
  <c r="P130" i="15" s="1"/>
  <c r="Q66" i="15"/>
  <c r="R66" i="15" s="1"/>
  <c r="Q65" i="15"/>
  <c r="T65" i="15" s="1"/>
  <c r="M121" i="15"/>
  <c r="N121" i="15" s="1"/>
  <c r="M114" i="15"/>
  <c r="P114" i="15" s="1"/>
  <c r="Q72" i="15"/>
  <c r="R72" i="15" s="1"/>
  <c r="M124" i="15"/>
  <c r="N124" i="15" s="1"/>
  <c r="M138" i="15"/>
  <c r="P138" i="15" s="1"/>
  <c r="Q75" i="15"/>
  <c r="R75" i="15" s="1"/>
  <c r="Q82" i="15"/>
  <c r="R82" i="15" s="1"/>
  <c r="Q73" i="15"/>
  <c r="T73" i="15" s="1"/>
  <c r="Q85" i="15"/>
  <c r="R85" i="15" s="1"/>
  <c r="Q74" i="15"/>
  <c r="R74" i="15" s="1"/>
  <c r="Q80" i="15"/>
  <c r="R80" i="15" s="1"/>
  <c r="M134" i="15"/>
  <c r="P134" i="15" s="1"/>
  <c r="Q71" i="15"/>
  <c r="T71" i="15" s="1"/>
  <c r="Q68" i="15"/>
  <c r="T68" i="15" s="1"/>
  <c r="Q79" i="15"/>
  <c r="R79" i="15" s="1"/>
  <c r="Q86" i="15"/>
  <c r="T86" i="15" s="1"/>
  <c r="Q78" i="15"/>
  <c r="T78" i="15" s="1"/>
  <c r="Q83" i="15"/>
  <c r="T83" i="15" s="1"/>
  <c r="M136" i="15"/>
  <c r="P136" i="15" s="1"/>
  <c r="Q77" i="15"/>
  <c r="T77" i="15" s="1"/>
  <c r="M115" i="15"/>
  <c r="O115" i="15" s="1"/>
  <c r="Q67" i="15"/>
  <c r="T67" i="15" s="1"/>
  <c r="M116" i="15"/>
  <c r="P116" i="15" s="1"/>
  <c r="M127" i="15"/>
  <c r="P127" i="15" s="1"/>
  <c r="Q91" i="15"/>
  <c r="R91" i="15" s="1"/>
  <c r="Q90" i="15"/>
  <c r="T90" i="15" s="1"/>
  <c r="Q87" i="15"/>
  <c r="Q64" i="15"/>
  <c r="T64" i="15" s="1"/>
  <c r="Q69" i="15"/>
  <c r="T69" i="15" s="1"/>
  <c r="M119" i="15"/>
  <c r="Q88" i="15"/>
  <c r="M132" i="15"/>
  <c r="P132" i="15" s="1"/>
  <c r="Q89" i="15"/>
  <c r="M231" i="14"/>
  <c r="P231" i="14" s="1"/>
  <c r="M229" i="14"/>
  <c r="O229" i="14" s="1"/>
  <c r="L41" i="14" s="1"/>
  <c r="N41" i="14" s="1"/>
  <c r="O41" i="14" s="1"/>
  <c r="M227" i="14"/>
  <c r="P227" i="14" s="1"/>
  <c r="M232" i="14"/>
  <c r="P232" i="14" s="1"/>
  <c r="M216" i="14"/>
  <c r="P216" i="14" s="1"/>
  <c r="M225" i="14"/>
  <c r="O225" i="14" s="1"/>
  <c r="L37" i="14" s="1"/>
  <c r="N37" i="14" s="1"/>
  <c r="O37" i="14" s="1"/>
  <c r="M208" i="14"/>
  <c r="O208" i="14" s="1"/>
  <c r="L20" i="14" s="1"/>
  <c r="N20" i="14" s="1"/>
  <c r="O20" i="14" s="1"/>
  <c r="M206" i="14"/>
  <c r="P206" i="14" s="1"/>
  <c r="M214" i="14"/>
  <c r="P214" i="14" s="1"/>
  <c r="M205" i="14"/>
  <c r="P205" i="14" s="1"/>
  <c r="M224" i="14"/>
  <c r="O224" i="14" s="1"/>
  <c r="L36" i="14" s="1"/>
  <c r="N36" i="14" s="1"/>
  <c r="O36" i="14" s="1"/>
  <c r="M226" i="14"/>
  <c r="O226" i="14" s="1"/>
  <c r="L38" i="14" s="1"/>
  <c r="N38" i="14" s="1"/>
  <c r="O38" i="14" s="1"/>
  <c r="M212" i="14"/>
  <c r="N212" i="14" s="1"/>
  <c r="M230" i="14"/>
  <c r="P230" i="14" s="1"/>
  <c r="M210" i="14"/>
  <c r="P210" i="14" s="1"/>
  <c r="M215" i="14"/>
  <c r="P215" i="14" s="1"/>
  <c r="M223" i="14"/>
  <c r="P223" i="14" s="1"/>
  <c r="M213" i="14"/>
  <c r="P213" i="14" s="1"/>
  <c r="M228" i="14"/>
  <c r="O228" i="14" s="1"/>
  <c r="L40" i="14" s="1"/>
  <c r="N40" i="14" s="1"/>
  <c r="O40" i="14" s="1"/>
  <c r="M207" i="14"/>
  <c r="P207" i="14" s="1"/>
  <c r="M220" i="14"/>
  <c r="N220" i="14" s="1"/>
  <c r="M218" i="14"/>
  <c r="N218" i="14" s="1"/>
  <c r="M219" i="14"/>
  <c r="O219" i="14" s="1"/>
  <c r="L31" i="14" s="1"/>
  <c r="N31" i="14" s="1"/>
  <c r="O31" i="14" s="1"/>
  <c r="M221" i="14"/>
  <c r="P221" i="14" s="1"/>
  <c r="M209" i="14"/>
  <c r="O209" i="14" s="1"/>
  <c r="L21" i="14" s="1"/>
  <c r="N21" i="14" s="1"/>
  <c r="O21" i="14" s="1"/>
  <c r="Q181" i="14"/>
  <c r="T181" i="14" s="1"/>
  <c r="Q171" i="14"/>
  <c r="T171" i="14" s="1"/>
  <c r="Q163" i="14"/>
  <c r="S163" i="14" s="1"/>
  <c r="I22" i="14" s="1"/>
  <c r="K22" i="14" s="1"/>
  <c r="Q173" i="14"/>
  <c r="R173" i="14" s="1"/>
  <c r="Q185" i="14"/>
  <c r="T185" i="14" s="1"/>
  <c r="Q172" i="14"/>
  <c r="T172" i="14" s="1"/>
  <c r="Q167" i="14"/>
  <c r="R167" i="14" s="1"/>
  <c r="Q162" i="14"/>
  <c r="R162" i="14" s="1"/>
  <c r="Q169" i="14"/>
  <c r="S169" i="14" s="1"/>
  <c r="I28" i="14" s="1"/>
  <c r="K28" i="14" s="1"/>
  <c r="Q179" i="14"/>
  <c r="R179" i="14" s="1"/>
  <c r="Q124" i="14"/>
  <c r="S124" i="14" s="1"/>
  <c r="F30" i="14" s="1"/>
  <c r="H30" i="14" s="1"/>
  <c r="Q184" i="14"/>
  <c r="S184" i="14" s="1"/>
  <c r="I43" i="14" s="1"/>
  <c r="K43" i="14" s="1"/>
  <c r="Q159" i="14"/>
  <c r="T159" i="14" s="1"/>
  <c r="Q160" i="14"/>
  <c r="T160" i="14" s="1"/>
  <c r="Q176" i="14"/>
  <c r="T176" i="14" s="1"/>
  <c r="Q177" i="14"/>
  <c r="R177" i="14" s="1"/>
  <c r="Q165" i="14"/>
  <c r="S165" i="14" s="1"/>
  <c r="I24" i="14" s="1"/>
  <c r="K24" i="14" s="1"/>
  <c r="Q183" i="14"/>
  <c r="T183" i="14" s="1"/>
  <c r="Q161" i="14"/>
  <c r="T161" i="14" s="1"/>
  <c r="Q180" i="14"/>
  <c r="T180" i="14" s="1"/>
  <c r="Q178" i="14"/>
  <c r="T178" i="14" s="1"/>
  <c r="Q121" i="14"/>
  <c r="R121" i="14" s="1"/>
  <c r="Q166" i="14"/>
  <c r="T166" i="14" s="1"/>
  <c r="Q182" i="14"/>
  <c r="S182" i="14" s="1"/>
  <c r="I41" i="14" s="1"/>
  <c r="K41" i="14" s="1"/>
  <c r="Q131" i="14"/>
  <c r="R131" i="14" s="1"/>
  <c r="Q174" i="14"/>
  <c r="S174" i="14" s="1"/>
  <c r="I33" i="14" s="1"/>
  <c r="K33" i="14" s="1"/>
  <c r="Q114" i="14"/>
  <c r="T114" i="14" s="1"/>
  <c r="Q158" i="14"/>
  <c r="T158" i="14" s="1"/>
  <c r="Q120" i="14"/>
  <c r="T120" i="14" s="1"/>
  <c r="Q122" i="14"/>
  <c r="T122" i="14" s="1"/>
  <c r="Q168" i="14"/>
  <c r="Q138" i="14"/>
  <c r="T138" i="14" s="1"/>
  <c r="Q135" i="14"/>
  <c r="R135" i="14" s="1"/>
  <c r="Q116" i="14"/>
  <c r="T116" i="14" s="1"/>
  <c r="Q129" i="14"/>
  <c r="S129" i="14" s="1"/>
  <c r="F35" i="14" s="1"/>
  <c r="H35" i="14" s="1"/>
  <c r="Q134" i="14"/>
  <c r="T134" i="14" s="1"/>
  <c r="Q113" i="14"/>
  <c r="S113" i="14" s="1"/>
  <c r="F19" i="14" s="1"/>
  <c r="H19" i="14" s="1"/>
  <c r="Q111" i="14"/>
  <c r="R111" i="14" s="1"/>
  <c r="Q112" i="14"/>
  <c r="T112" i="14" s="1"/>
  <c r="Q126" i="14"/>
  <c r="R126" i="14" s="1"/>
  <c r="Q132" i="14"/>
  <c r="T132" i="14" s="1"/>
  <c r="Q127" i="14"/>
  <c r="T127" i="14" s="1"/>
  <c r="Q137" i="14"/>
  <c r="S137" i="14" s="1"/>
  <c r="F43" i="14" s="1"/>
  <c r="H43" i="14" s="1"/>
  <c r="Q115" i="14"/>
  <c r="R115" i="14" s="1"/>
  <c r="Q130" i="14"/>
  <c r="R130" i="14" s="1"/>
  <c r="Q125" i="14"/>
  <c r="T125" i="14" s="1"/>
  <c r="Q118" i="14"/>
  <c r="Q133" i="14"/>
  <c r="Q136" i="14"/>
  <c r="Q119" i="14"/>
  <c r="Q20" i="14" l="1"/>
  <c r="H5" i="9"/>
  <c r="H22" i="9"/>
  <c r="Q37" i="14"/>
  <c r="H26" i="9"/>
  <c r="Q41" i="14"/>
  <c r="Q21" i="14"/>
  <c r="H6" i="9"/>
  <c r="H23" i="9"/>
  <c r="Q38" i="14"/>
  <c r="Q31" i="14"/>
  <c r="H16" i="9"/>
  <c r="H21" i="9"/>
  <c r="Q36" i="14"/>
  <c r="H25" i="9"/>
  <c r="Q40" i="14"/>
  <c r="F10" i="9"/>
  <c r="N172" i="18"/>
  <c r="P172" i="18"/>
  <c r="N185" i="18"/>
  <c r="T116" i="18"/>
  <c r="S116" i="18"/>
  <c r="F22" i="18" s="1"/>
  <c r="H22" i="18" s="1"/>
  <c r="O185" i="18"/>
  <c r="I44" i="18" s="1"/>
  <c r="K44" i="18" s="1"/>
  <c r="S64" i="18"/>
  <c r="C17" i="18" s="1"/>
  <c r="E17" i="18" s="1"/>
  <c r="O178" i="18"/>
  <c r="I37" i="18" s="1"/>
  <c r="K37" i="18" s="1"/>
  <c r="R64" i="18"/>
  <c r="N167" i="18"/>
  <c r="S68" i="18"/>
  <c r="C21" i="18" s="1"/>
  <c r="E21" i="18" s="1"/>
  <c r="T78" i="18"/>
  <c r="T69" i="18"/>
  <c r="O174" i="18"/>
  <c r="I33" i="18" s="1"/>
  <c r="K33" i="18" s="1"/>
  <c r="P163" i="18"/>
  <c r="O167" i="18"/>
  <c r="I26" i="18" s="1"/>
  <c r="K26" i="18" s="1"/>
  <c r="P176" i="18"/>
  <c r="N176" i="18"/>
  <c r="S82" i="18"/>
  <c r="C35" i="18" s="1"/>
  <c r="E35" i="18" s="1"/>
  <c r="G20" i="9" s="1"/>
  <c r="S125" i="18"/>
  <c r="F31" i="18" s="1"/>
  <c r="H31" i="18" s="1"/>
  <c r="G16" i="9" s="1"/>
  <c r="O163" i="18"/>
  <c r="I22" i="18" s="1"/>
  <c r="K22" i="18" s="1"/>
  <c r="G7" i="9" s="1"/>
  <c r="S69" i="18"/>
  <c r="C22" i="18" s="1"/>
  <c r="E22" i="18" s="1"/>
  <c r="P160" i="18"/>
  <c r="N183" i="18"/>
  <c r="R82" i="18"/>
  <c r="S85" i="18"/>
  <c r="C38" i="18" s="1"/>
  <c r="E38" i="18" s="1"/>
  <c r="N160" i="18"/>
  <c r="R85" i="18"/>
  <c r="S75" i="18"/>
  <c r="C28" i="18" s="1"/>
  <c r="E28" i="18" s="1"/>
  <c r="G13" i="9" s="1"/>
  <c r="P177" i="18"/>
  <c r="P183" i="18"/>
  <c r="R90" i="18"/>
  <c r="P178" i="18"/>
  <c r="P174" i="18"/>
  <c r="N179" i="18"/>
  <c r="S120" i="18"/>
  <c r="F26" i="18" s="1"/>
  <c r="H26" i="18" s="1"/>
  <c r="R120" i="18"/>
  <c r="R114" i="18"/>
  <c r="P169" i="18"/>
  <c r="T68" i="18"/>
  <c r="N169" i="18"/>
  <c r="O162" i="18"/>
  <c r="I21" i="18" s="1"/>
  <c r="K21" i="18" s="1"/>
  <c r="G6" i="9" s="1"/>
  <c r="S83" i="18"/>
  <c r="C36" i="18" s="1"/>
  <c r="E36" i="18" s="1"/>
  <c r="G21" i="9" s="1"/>
  <c r="T71" i="18"/>
  <c r="R71" i="18"/>
  <c r="S114" i="18"/>
  <c r="F20" i="18" s="1"/>
  <c r="H20" i="18" s="1"/>
  <c r="N177" i="18"/>
  <c r="T66" i="18"/>
  <c r="S66" i="18"/>
  <c r="C19" i="18" s="1"/>
  <c r="E19" i="18" s="1"/>
  <c r="G4" i="9" s="1"/>
  <c r="T83" i="18"/>
  <c r="T112" i="18"/>
  <c r="T73" i="18"/>
  <c r="S73" i="18"/>
  <c r="C26" i="18" s="1"/>
  <c r="E26" i="18" s="1"/>
  <c r="S118" i="18"/>
  <c r="F24" i="18" s="1"/>
  <c r="H24" i="18" s="1"/>
  <c r="S129" i="18"/>
  <c r="F35" i="18" s="1"/>
  <c r="H35" i="18" s="1"/>
  <c r="T132" i="18"/>
  <c r="T118" i="18"/>
  <c r="S132" i="18"/>
  <c r="F38" i="18" s="1"/>
  <c r="H38" i="18" s="1"/>
  <c r="O161" i="18"/>
  <c r="I20" i="18" s="1"/>
  <c r="K20" i="18" s="1"/>
  <c r="R137" i="18"/>
  <c r="R134" i="18"/>
  <c r="T137" i="18"/>
  <c r="N166" i="18"/>
  <c r="R80" i="18"/>
  <c r="T87" i="18"/>
  <c r="S121" i="18"/>
  <c r="F27" i="18" s="1"/>
  <c r="H27" i="18" s="1"/>
  <c r="P166" i="18"/>
  <c r="S80" i="18"/>
  <c r="C33" i="18" s="1"/>
  <c r="E33" i="18" s="1"/>
  <c r="S87" i="18"/>
  <c r="C40" i="18" s="1"/>
  <c r="E40" i="18" s="1"/>
  <c r="G25" i="9" s="1"/>
  <c r="T130" i="18"/>
  <c r="R130" i="18"/>
  <c r="R119" i="18"/>
  <c r="S119" i="18"/>
  <c r="F25" i="18" s="1"/>
  <c r="H25" i="18" s="1"/>
  <c r="G10" i="9" s="1"/>
  <c r="T129" i="18"/>
  <c r="P161" i="18"/>
  <c r="S131" i="18"/>
  <c r="F37" i="18" s="1"/>
  <c r="H37" i="18" s="1"/>
  <c r="R78" i="18"/>
  <c r="P162" i="18"/>
  <c r="T133" i="18"/>
  <c r="O180" i="18"/>
  <c r="I39" i="18" s="1"/>
  <c r="K39" i="18" s="1"/>
  <c r="R125" i="18"/>
  <c r="S77" i="18"/>
  <c r="C30" i="18" s="1"/>
  <c r="E30" i="18" s="1"/>
  <c r="N181" i="18"/>
  <c r="S133" i="18"/>
  <c r="F39" i="18" s="1"/>
  <c r="H39" i="18" s="1"/>
  <c r="S112" i="18"/>
  <c r="F18" i="18" s="1"/>
  <c r="H18" i="18" s="1"/>
  <c r="T136" i="18"/>
  <c r="T90" i="18"/>
  <c r="O179" i="18"/>
  <c r="I38" i="18" s="1"/>
  <c r="K38" i="18" s="1"/>
  <c r="G23" i="9" s="1"/>
  <c r="P180" i="18"/>
  <c r="T115" i="18"/>
  <c r="R115" i="18"/>
  <c r="T121" i="18"/>
  <c r="R111" i="18"/>
  <c r="T84" i="18"/>
  <c r="T134" i="18"/>
  <c r="T79" i="18"/>
  <c r="P181" i="18"/>
  <c r="T75" i="18"/>
  <c r="T111" i="18"/>
  <c r="S84" i="18"/>
  <c r="C37" i="18" s="1"/>
  <c r="E37" i="18" s="1"/>
  <c r="O184" i="18"/>
  <c r="I43" i="18" s="1"/>
  <c r="K43" i="18" s="1"/>
  <c r="G28" i="9" s="1"/>
  <c r="N184" i="18"/>
  <c r="R131" i="18"/>
  <c r="S113" i="18"/>
  <c r="F19" i="18" s="1"/>
  <c r="H19" i="18" s="1"/>
  <c r="T113" i="18"/>
  <c r="R113" i="18"/>
  <c r="R77" i="18"/>
  <c r="S122" i="18"/>
  <c r="F28" i="18" s="1"/>
  <c r="H28" i="18" s="1"/>
  <c r="T127" i="18"/>
  <c r="R122" i="18"/>
  <c r="R127" i="18"/>
  <c r="T65" i="18"/>
  <c r="R86" i="18"/>
  <c r="S65" i="18"/>
  <c r="C18" i="18" s="1"/>
  <c r="E18" i="18" s="1"/>
  <c r="T86" i="18"/>
  <c r="R72" i="18"/>
  <c r="T72" i="18"/>
  <c r="R88" i="18"/>
  <c r="S136" i="18"/>
  <c r="F42" i="18" s="1"/>
  <c r="H42" i="18" s="1"/>
  <c r="T124" i="18"/>
  <c r="R74" i="18"/>
  <c r="T126" i="18"/>
  <c r="S124" i="18"/>
  <c r="F30" i="18" s="1"/>
  <c r="H30" i="18" s="1"/>
  <c r="T74" i="18"/>
  <c r="S126" i="18"/>
  <c r="F32" i="18" s="1"/>
  <c r="H32" i="18" s="1"/>
  <c r="S135" i="18"/>
  <c r="F41" i="18" s="1"/>
  <c r="H41" i="18" s="1"/>
  <c r="N173" i="18"/>
  <c r="O173" i="18"/>
  <c r="I32" i="18" s="1"/>
  <c r="K32" i="18" s="1"/>
  <c r="S79" i="18"/>
  <c r="C32" i="18" s="1"/>
  <c r="E32" i="18" s="1"/>
  <c r="N182" i="18"/>
  <c r="T135" i="18"/>
  <c r="P173" i="18"/>
  <c r="T138" i="18"/>
  <c r="S88" i="18"/>
  <c r="C41" i="18" s="1"/>
  <c r="E41" i="18" s="1"/>
  <c r="R91" i="18"/>
  <c r="S138" i="18"/>
  <c r="F44" i="18" s="1"/>
  <c r="H44" i="18" s="1"/>
  <c r="O165" i="18"/>
  <c r="I24" i="18" s="1"/>
  <c r="K24" i="18" s="1"/>
  <c r="G9" i="9" s="1"/>
  <c r="T91" i="18"/>
  <c r="P159" i="18"/>
  <c r="O159" i="18"/>
  <c r="I18" i="18" s="1"/>
  <c r="K18" i="18" s="1"/>
  <c r="O158" i="18"/>
  <c r="I17" i="18" s="1"/>
  <c r="K17" i="18" s="1"/>
  <c r="G2" i="9" s="1"/>
  <c r="N158" i="18"/>
  <c r="P158" i="18"/>
  <c r="N159" i="18"/>
  <c r="O182" i="18"/>
  <c r="I41" i="18" s="1"/>
  <c r="K41" i="18" s="1"/>
  <c r="G26" i="9" s="1"/>
  <c r="N168" i="18"/>
  <c r="O168" i="18"/>
  <c r="I27" i="18" s="1"/>
  <c r="K27" i="18" s="1"/>
  <c r="G12" i="9" s="1"/>
  <c r="P168" i="18"/>
  <c r="P165" i="18"/>
  <c r="R67" i="18"/>
  <c r="T67" i="18"/>
  <c r="S67" i="18"/>
  <c r="C20" i="18" s="1"/>
  <c r="E20" i="18" s="1"/>
  <c r="P171" i="18"/>
  <c r="O171" i="18"/>
  <c r="I30" i="18" s="1"/>
  <c r="K30" i="18" s="1"/>
  <c r="N171" i="18"/>
  <c r="R89" i="18"/>
  <c r="S89" i="18"/>
  <c r="C42" i="18" s="1"/>
  <c r="E42" i="18" s="1"/>
  <c r="G27" i="9" s="1"/>
  <c r="T89" i="18"/>
  <c r="O160" i="20"/>
  <c r="I19" i="20" s="1"/>
  <c r="K19" i="20" s="1"/>
  <c r="E4" i="9" s="1"/>
  <c r="P160" i="20"/>
  <c r="N165" i="21"/>
  <c r="O165" i="21"/>
  <c r="I24" i="21" s="1"/>
  <c r="K24" i="21" s="1"/>
  <c r="N130" i="21"/>
  <c r="P130" i="21"/>
  <c r="N176" i="21"/>
  <c r="O176" i="21"/>
  <c r="I35" i="21" s="1"/>
  <c r="K35" i="21" s="1"/>
  <c r="O163" i="21"/>
  <c r="I22" i="21" s="1"/>
  <c r="K22" i="21" s="1"/>
  <c r="S80" i="21"/>
  <c r="C33" i="21" s="1"/>
  <c r="E33" i="21" s="1"/>
  <c r="O126" i="20"/>
  <c r="F32" i="20" s="1"/>
  <c r="H32" i="20" s="1"/>
  <c r="E17" i="9" s="1"/>
  <c r="N180" i="21"/>
  <c r="P126" i="20"/>
  <c r="N163" i="21"/>
  <c r="O126" i="21"/>
  <c r="F32" i="21" s="1"/>
  <c r="H32" i="21" s="1"/>
  <c r="N119" i="21"/>
  <c r="P125" i="20"/>
  <c r="P116" i="21"/>
  <c r="N126" i="21"/>
  <c r="S88" i="20"/>
  <c r="C41" i="20" s="1"/>
  <c r="E41" i="20" s="1"/>
  <c r="N134" i="21"/>
  <c r="R80" i="21"/>
  <c r="O134" i="21"/>
  <c r="F40" i="21" s="1"/>
  <c r="H40" i="21" s="1"/>
  <c r="F25" i="9" s="1"/>
  <c r="O125" i="20"/>
  <c r="F31" i="20" s="1"/>
  <c r="H31" i="20" s="1"/>
  <c r="P115" i="21"/>
  <c r="O115" i="21"/>
  <c r="F21" i="21" s="1"/>
  <c r="H21" i="21" s="1"/>
  <c r="N116" i="21"/>
  <c r="N173" i="21"/>
  <c r="O173" i="21"/>
  <c r="I32" i="21" s="1"/>
  <c r="K32" i="21" s="1"/>
  <c r="O121" i="21"/>
  <c r="F27" i="21" s="1"/>
  <c r="H27" i="21" s="1"/>
  <c r="N166" i="20"/>
  <c r="N119" i="20"/>
  <c r="O119" i="20"/>
  <c r="F25" i="20" s="1"/>
  <c r="H25" i="20" s="1"/>
  <c r="N112" i="21"/>
  <c r="O112" i="21"/>
  <c r="F18" i="21" s="1"/>
  <c r="H18" i="21" s="1"/>
  <c r="F3" i="9" s="1"/>
  <c r="N162" i="21"/>
  <c r="O180" i="21"/>
  <c r="I39" i="21" s="1"/>
  <c r="K39" i="21" s="1"/>
  <c r="O162" i="21"/>
  <c r="I21" i="21" s="1"/>
  <c r="K21" i="21" s="1"/>
  <c r="P119" i="21"/>
  <c r="O122" i="21"/>
  <c r="F28" i="21" s="1"/>
  <c r="H28" i="21" s="1"/>
  <c r="F13" i="9" s="1"/>
  <c r="N122" i="21"/>
  <c r="R64" i="21"/>
  <c r="O114" i="21"/>
  <c r="F20" i="21" s="1"/>
  <c r="H20" i="21" s="1"/>
  <c r="F5" i="9" s="1"/>
  <c r="S64" i="21"/>
  <c r="C17" i="21" s="1"/>
  <c r="E17" i="21" s="1"/>
  <c r="N127" i="21"/>
  <c r="R73" i="21"/>
  <c r="N171" i="21"/>
  <c r="S77" i="21"/>
  <c r="C30" i="21" s="1"/>
  <c r="E30" i="21" s="1"/>
  <c r="O180" i="20"/>
  <c r="I39" i="20" s="1"/>
  <c r="K39" i="20" s="1"/>
  <c r="P180" i="20"/>
  <c r="O125" i="21"/>
  <c r="F31" i="21" s="1"/>
  <c r="H31" i="21" s="1"/>
  <c r="O133" i="21"/>
  <c r="F39" i="21" s="1"/>
  <c r="H39" i="21" s="1"/>
  <c r="O174" i="21"/>
  <c r="I33" i="21" s="1"/>
  <c r="K33" i="21" s="1"/>
  <c r="O124" i="21"/>
  <c r="F30" i="21" s="1"/>
  <c r="H30" i="21" s="1"/>
  <c r="P174" i="21"/>
  <c r="P111" i="21"/>
  <c r="R90" i="21"/>
  <c r="N135" i="21"/>
  <c r="N124" i="21"/>
  <c r="T90" i="21"/>
  <c r="R86" i="21"/>
  <c r="P135" i="21"/>
  <c r="N120" i="21"/>
  <c r="T77" i="21"/>
  <c r="O120" i="21"/>
  <c r="F26" i="21" s="1"/>
  <c r="H26" i="21" s="1"/>
  <c r="F11" i="9" s="1"/>
  <c r="O129" i="21"/>
  <c r="F35" i="21" s="1"/>
  <c r="H35" i="21" s="1"/>
  <c r="F20" i="9" s="1"/>
  <c r="P129" i="21"/>
  <c r="O132" i="21"/>
  <c r="F38" i="21" s="1"/>
  <c r="H38" i="21" s="1"/>
  <c r="N114" i="21"/>
  <c r="T67" i="21"/>
  <c r="N133" i="21"/>
  <c r="N132" i="21"/>
  <c r="P171" i="21"/>
  <c r="P169" i="20"/>
  <c r="P125" i="21"/>
  <c r="O138" i="21"/>
  <c r="F44" i="21" s="1"/>
  <c r="H44" i="21" s="1"/>
  <c r="O118" i="21"/>
  <c r="F24" i="21" s="1"/>
  <c r="H24" i="21" s="1"/>
  <c r="N118" i="21"/>
  <c r="P127" i="21"/>
  <c r="O137" i="21"/>
  <c r="F43" i="21" s="1"/>
  <c r="H43" i="21" s="1"/>
  <c r="F28" i="9" s="1"/>
  <c r="T73" i="21"/>
  <c r="P184" i="21"/>
  <c r="N113" i="21"/>
  <c r="R69" i="21"/>
  <c r="S69" i="21"/>
  <c r="C22" i="21" s="1"/>
  <c r="E22" i="21" s="1"/>
  <c r="F7" i="9" s="1"/>
  <c r="N121" i="21"/>
  <c r="P113" i="21"/>
  <c r="P179" i="21"/>
  <c r="P136" i="21"/>
  <c r="N169" i="21"/>
  <c r="S86" i="21"/>
  <c r="C39" i="21" s="1"/>
  <c r="E39" i="21" s="1"/>
  <c r="R82" i="21"/>
  <c r="N178" i="21"/>
  <c r="P178" i="21"/>
  <c r="N184" i="21"/>
  <c r="R79" i="21"/>
  <c r="P169" i="21"/>
  <c r="O111" i="21"/>
  <c r="F17" i="21" s="1"/>
  <c r="H17" i="21" s="1"/>
  <c r="P129" i="20"/>
  <c r="S85" i="21"/>
  <c r="C38" i="21" s="1"/>
  <c r="E38" i="21" s="1"/>
  <c r="P161" i="21"/>
  <c r="P116" i="20"/>
  <c r="N138" i="21"/>
  <c r="N161" i="21"/>
  <c r="T85" i="21"/>
  <c r="S79" i="21"/>
  <c r="C32" i="21" s="1"/>
  <c r="E32" i="21" s="1"/>
  <c r="N118" i="20"/>
  <c r="P118" i="20"/>
  <c r="N137" i="21"/>
  <c r="S66" i="21"/>
  <c r="C19" i="21" s="1"/>
  <c r="E19" i="21" s="1"/>
  <c r="F4" i="9" s="1"/>
  <c r="R87" i="21"/>
  <c r="R66" i="21"/>
  <c r="N159" i="20"/>
  <c r="R74" i="21"/>
  <c r="P159" i="20"/>
  <c r="P177" i="21"/>
  <c r="O177" i="21"/>
  <c r="I36" i="21" s="1"/>
  <c r="K36" i="21" s="1"/>
  <c r="O166" i="20"/>
  <c r="I25" i="20" s="1"/>
  <c r="K25" i="20" s="1"/>
  <c r="R78" i="21"/>
  <c r="T87" i="21"/>
  <c r="P181" i="21"/>
  <c r="N167" i="21"/>
  <c r="O167" i="21"/>
  <c r="I26" i="21" s="1"/>
  <c r="K26" i="21" s="1"/>
  <c r="T83" i="21"/>
  <c r="P137" i="20"/>
  <c r="S83" i="21"/>
  <c r="C36" i="21" s="1"/>
  <c r="E36" i="21" s="1"/>
  <c r="F21" i="9" s="1"/>
  <c r="R67" i="21"/>
  <c r="N177" i="21"/>
  <c r="N136" i="21"/>
  <c r="T75" i="21"/>
  <c r="T89" i="21"/>
  <c r="S71" i="21"/>
  <c r="C24" i="21" s="1"/>
  <c r="E24" i="21" s="1"/>
  <c r="O181" i="21"/>
  <c r="I40" i="21" s="1"/>
  <c r="K40" i="21" s="1"/>
  <c r="T72" i="21"/>
  <c r="N179" i="21"/>
  <c r="O172" i="21"/>
  <c r="I31" i="21" s="1"/>
  <c r="K31" i="21" s="1"/>
  <c r="N172" i="21"/>
  <c r="P172" i="21"/>
  <c r="R71" i="21"/>
  <c r="R89" i="21"/>
  <c r="N162" i="20"/>
  <c r="R72" i="21"/>
  <c r="S74" i="21"/>
  <c r="C27" i="21" s="1"/>
  <c r="E27" i="21" s="1"/>
  <c r="F12" i="9" s="1"/>
  <c r="R75" i="21"/>
  <c r="S68" i="21"/>
  <c r="C21" i="21" s="1"/>
  <c r="E21" i="21" s="1"/>
  <c r="F6" i="9" s="1"/>
  <c r="R65" i="21"/>
  <c r="T84" i="21"/>
  <c r="S84" i="21"/>
  <c r="C37" i="21" s="1"/>
  <c r="E37" i="21" s="1"/>
  <c r="S91" i="21"/>
  <c r="C44" i="21" s="1"/>
  <c r="E44" i="21" s="1"/>
  <c r="N166" i="21"/>
  <c r="T82" i="21"/>
  <c r="T65" i="21"/>
  <c r="R91" i="21"/>
  <c r="O166" i="21"/>
  <c r="I25" i="21" s="1"/>
  <c r="K25" i="21" s="1"/>
  <c r="S82" i="20"/>
  <c r="C35" i="20" s="1"/>
  <c r="E35" i="20" s="1"/>
  <c r="R90" i="20"/>
  <c r="R68" i="21"/>
  <c r="N158" i="21"/>
  <c r="O158" i="21"/>
  <c r="I17" i="21" s="1"/>
  <c r="K17" i="21" s="1"/>
  <c r="P131" i="21"/>
  <c r="O131" i="21"/>
  <c r="F37" i="21" s="1"/>
  <c r="H37" i="21" s="1"/>
  <c r="N131" i="21"/>
  <c r="N129" i="20"/>
  <c r="S78" i="21"/>
  <c r="C31" i="21" s="1"/>
  <c r="E31" i="21" s="1"/>
  <c r="F16" i="9" s="1"/>
  <c r="P182" i="21"/>
  <c r="O182" i="21"/>
  <c r="I41" i="21" s="1"/>
  <c r="K41" i="21" s="1"/>
  <c r="N182" i="21"/>
  <c r="T88" i="21"/>
  <c r="S88" i="21"/>
  <c r="C41" i="21" s="1"/>
  <c r="E41" i="21" s="1"/>
  <c r="F26" i="9" s="1"/>
  <c r="R88" i="21"/>
  <c r="R82" i="20"/>
  <c r="O160" i="21"/>
  <c r="I19" i="21" s="1"/>
  <c r="K19" i="21" s="1"/>
  <c r="N160" i="21"/>
  <c r="P160" i="21"/>
  <c r="P168" i="21"/>
  <c r="O168" i="21"/>
  <c r="I27" i="21" s="1"/>
  <c r="K27" i="21" s="1"/>
  <c r="N168" i="21"/>
  <c r="P185" i="21"/>
  <c r="O185" i="21"/>
  <c r="I44" i="21" s="1"/>
  <c r="K44" i="21" s="1"/>
  <c r="N185" i="21"/>
  <c r="N183" i="21"/>
  <c r="P183" i="21"/>
  <c r="O183" i="21"/>
  <c r="I42" i="21" s="1"/>
  <c r="K42" i="21" s="1"/>
  <c r="F27" i="9" s="1"/>
  <c r="P159" i="21"/>
  <c r="N159" i="21"/>
  <c r="O159" i="21"/>
  <c r="I18" i="21" s="1"/>
  <c r="K18" i="21" s="1"/>
  <c r="O162" i="20"/>
  <c r="I21" i="20" s="1"/>
  <c r="K21" i="20" s="1"/>
  <c r="O132" i="20"/>
  <c r="F38" i="20" s="1"/>
  <c r="H38" i="20" s="1"/>
  <c r="N132" i="20"/>
  <c r="P133" i="20"/>
  <c r="O177" i="20"/>
  <c r="I36" i="20" s="1"/>
  <c r="K36" i="20" s="1"/>
  <c r="N169" i="20"/>
  <c r="N116" i="20"/>
  <c r="N137" i="20"/>
  <c r="N131" i="20"/>
  <c r="O131" i="20"/>
  <c r="F37" i="20" s="1"/>
  <c r="H37" i="20" s="1"/>
  <c r="T89" i="20"/>
  <c r="O138" i="20"/>
  <c r="F44" i="20" s="1"/>
  <c r="H44" i="20" s="1"/>
  <c r="E29" i="9" s="1"/>
  <c r="P178" i="20"/>
  <c r="P115" i="20"/>
  <c r="O178" i="20"/>
  <c r="I37" i="20" s="1"/>
  <c r="K37" i="20" s="1"/>
  <c r="O174" i="20"/>
  <c r="I33" i="20" s="1"/>
  <c r="K33" i="20" s="1"/>
  <c r="T67" i="20"/>
  <c r="S80" i="20"/>
  <c r="C33" i="20" s="1"/>
  <c r="E33" i="20" s="1"/>
  <c r="R80" i="20"/>
  <c r="O165" i="20"/>
  <c r="I24" i="20" s="1"/>
  <c r="K24" i="20" s="1"/>
  <c r="N135" i="20"/>
  <c r="T77" i="20"/>
  <c r="N165" i="20"/>
  <c r="R84" i="20"/>
  <c r="S84" i="20"/>
  <c r="C37" i="20" s="1"/>
  <c r="E37" i="20" s="1"/>
  <c r="S90" i="20"/>
  <c r="C43" i="20" s="1"/>
  <c r="E43" i="20" s="1"/>
  <c r="N133" i="20"/>
  <c r="R67" i="20"/>
  <c r="N174" i="20"/>
  <c r="S77" i="20"/>
  <c r="C30" i="20" s="1"/>
  <c r="E30" i="20" s="1"/>
  <c r="N130" i="20"/>
  <c r="N114" i="20"/>
  <c r="N138" i="20"/>
  <c r="N115" i="20"/>
  <c r="N112" i="20"/>
  <c r="P112" i="20"/>
  <c r="S78" i="20"/>
  <c r="C31" i="20" s="1"/>
  <c r="E31" i="20" s="1"/>
  <c r="E16" i="9" s="1"/>
  <c r="P167" i="20"/>
  <c r="T88" i="20"/>
  <c r="N177" i="20"/>
  <c r="O167" i="20"/>
  <c r="I26" i="20" s="1"/>
  <c r="K26" i="20" s="1"/>
  <c r="R91" i="20"/>
  <c r="O182" i="20"/>
  <c r="I41" i="20" s="1"/>
  <c r="K41" i="20" s="1"/>
  <c r="P182" i="20"/>
  <c r="O161" i="20"/>
  <c r="I20" i="20" s="1"/>
  <c r="K20" i="20" s="1"/>
  <c r="S89" i="20"/>
  <c r="C42" i="20" s="1"/>
  <c r="E42" i="20" s="1"/>
  <c r="E27" i="9" s="1"/>
  <c r="P161" i="20"/>
  <c r="O135" i="20"/>
  <c r="F41" i="20" s="1"/>
  <c r="H41" i="20" s="1"/>
  <c r="N183" i="20"/>
  <c r="O130" i="20"/>
  <c r="F36" i="20" s="1"/>
  <c r="H36" i="20" s="1"/>
  <c r="O183" i="20"/>
  <c r="I42" i="20" s="1"/>
  <c r="K42" i="20" s="1"/>
  <c r="T78" i="20"/>
  <c r="P168" i="20"/>
  <c r="N168" i="20"/>
  <c r="P172" i="20"/>
  <c r="N172" i="20"/>
  <c r="S69" i="20"/>
  <c r="C22" i="20" s="1"/>
  <c r="E22" i="20" s="1"/>
  <c r="E7" i="9" s="1"/>
  <c r="N121" i="20"/>
  <c r="T91" i="20"/>
  <c r="O158" i="20"/>
  <c r="I17" i="20" s="1"/>
  <c r="K17" i="20" s="1"/>
  <c r="P121" i="20"/>
  <c r="S64" i="20"/>
  <c r="C17" i="20" s="1"/>
  <c r="E17" i="20" s="1"/>
  <c r="R74" i="20"/>
  <c r="P158" i="20"/>
  <c r="S74" i="20"/>
  <c r="C27" i="20" s="1"/>
  <c r="E27" i="20" s="1"/>
  <c r="E12" i="9" s="1"/>
  <c r="N185" i="20"/>
  <c r="R69" i="20"/>
  <c r="O114" i="20"/>
  <c r="F20" i="20" s="1"/>
  <c r="H20" i="20" s="1"/>
  <c r="E5" i="9" s="1"/>
  <c r="P185" i="20"/>
  <c r="N176" i="20"/>
  <c r="S71" i="20"/>
  <c r="C24" i="20" s="1"/>
  <c r="E24" i="20" s="1"/>
  <c r="E9" i="9" s="1"/>
  <c r="O176" i="20"/>
  <c r="I35" i="20" s="1"/>
  <c r="K35" i="20" s="1"/>
  <c r="P113" i="20"/>
  <c r="R72" i="20"/>
  <c r="S72" i="20"/>
  <c r="C25" i="20" s="1"/>
  <c r="E25" i="20" s="1"/>
  <c r="E10" i="9" s="1"/>
  <c r="T75" i="20"/>
  <c r="N163" i="20"/>
  <c r="S73" i="20"/>
  <c r="C26" i="20" s="1"/>
  <c r="E26" i="20" s="1"/>
  <c r="R71" i="20"/>
  <c r="T73" i="20"/>
  <c r="T66" i="20"/>
  <c r="R66" i="20"/>
  <c r="O163" i="20"/>
  <c r="I22" i="20" s="1"/>
  <c r="K22" i="20" s="1"/>
  <c r="R75" i="20"/>
  <c r="N113" i="20"/>
  <c r="N173" i="20"/>
  <c r="R64" i="20"/>
  <c r="R65" i="20"/>
  <c r="S65" i="20"/>
  <c r="C18" i="20" s="1"/>
  <c r="E18" i="20" s="1"/>
  <c r="E3" i="9" s="1"/>
  <c r="P173" i="20"/>
  <c r="S68" i="20"/>
  <c r="C21" i="20" s="1"/>
  <c r="E21" i="20" s="1"/>
  <c r="E6" i="9" s="1"/>
  <c r="N124" i="20"/>
  <c r="P124" i="20"/>
  <c r="O124" i="20"/>
  <c r="F30" i="20" s="1"/>
  <c r="H30" i="20" s="1"/>
  <c r="T79" i="20"/>
  <c r="R79" i="20"/>
  <c r="T68" i="20"/>
  <c r="P111" i="20"/>
  <c r="N111" i="20"/>
  <c r="O111" i="20"/>
  <c r="F17" i="20" s="1"/>
  <c r="H17" i="20" s="1"/>
  <c r="R87" i="20"/>
  <c r="T87" i="20"/>
  <c r="P171" i="20"/>
  <c r="O171" i="20"/>
  <c r="I30" i="20" s="1"/>
  <c r="K30" i="20" s="1"/>
  <c r="N171" i="20"/>
  <c r="O182" i="15"/>
  <c r="I41" i="15" s="1"/>
  <c r="K41" i="15" s="1"/>
  <c r="N136" i="20"/>
  <c r="O184" i="20"/>
  <c r="I43" i="20" s="1"/>
  <c r="K43" i="20" s="1"/>
  <c r="N184" i="20"/>
  <c r="P184" i="20"/>
  <c r="T85" i="20"/>
  <c r="S85" i="20"/>
  <c r="C38" i="20" s="1"/>
  <c r="E38" i="20" s="1"/>
  <c r="N182" i="15"/>
  <c r="O136" i="20"/>
  <c r="F42" i="20" s="1"/>
  <c r="H42" i="20" s="1"/>
  <c r="P127" i="20"/>
  <c r="O127" i="20"/>
  <c r="F33" i="20" s="1"/>
  <c r="H33" i="20" s="1"/>
  <c r="N127" i="20"/>
  <c r="P134" i="20"/>
  <c r="N134" i="20"/>
  <c r="O134" i="20"/>
  <c r="F40" i="20" s="1"/>
  <c r="H40" i="20" s="1"/>
  <c r="E25" i="9" s="1"/>
  <c r="P120" i="20"/>
  <c r="O120" i="20"/>
  <c r="F26" i="20" s="1"/>
  <c r="H26" i="20" s="1"/>
  <c r="N120" i="20"/>
  <c r="T83" i="20"/>
  <c r="R83" i="20"/>
  <c r="S83" i="20"/>
  <c r="C36" i="20" s="1"/>
  <c r="E36" i="20" s="1"/>
  <c r="E21" i="9" s="1"/>
  <c r="P181" i="20"/>
  <c r="O181" i="20"/>
  <c r="I40" i="20" s="1"/>
  <c r="K40" i="20" s="1"/>
  <c r="N181" i="20"/>
  <c r="P122" i="20"/>
  <c r="O122" i="20"/>
  <c r="F28" i="20" s="1"/>
  <c r="H28" i="20" s="1"/>
  <c r="E13" i="9" s="1"/>
  <c r="N122" i="20"/>
  <c r="P179" i="20"/>
  <c r="O179" i="20"/>
  <c r="I38" i="20" s="1"/>
  <c r="K38" i="20" s="1"/>
  <c r="N179" i="20"/>
  <c r="T86" i="20"/>
  <c r="R86" i="20"/>
  <c r="S86" i="20"/>
  <c r="C39" i="20" s="1"/>
  <c r="E39" i="20" s="1"/>
  <c r="E24" i="9" s="1"/>
  <c r="F39" i="15"/>
  <c r="H39" i="15" s="1"/>
  <c r="F21" i="15"/>
  <c r="H21" i="15" s="1"/>
  <c r="O168" i="15"/>
  <c r="I27" i="15" s="1"/>
  <c r="K27" i="15" s="1"/>
  <c r="N168" i="15"/>
  <c r="J205" i="15"/>
  <c r="L205" i="15"/>
  <c r="L227" i="15"/>
  <c r="K227" i="15"/>
  <c r="L39" i="15" s="1"/>
  <c r="N39" i="15" s="1"/>
  <c r="J224" i="15"/>
  <c r="L224" i="15"/>
  <c r="L215" i="15"/>
  <c r="J212" i="15"/>
  <c r="J210" i="15"/>
  <c r="K219" i="15"/>
  <c r="L31" i="15" s="1"/>
  <c r="N31" i="15" s="1"/>
  <c r="L219" i="15"/>
  <c r="J215" i="15"/>
  <c r="J232" i="15"/>
  <c r="K232" i="15"/>
  <c r="L44" i="15" s="1"/>
  <c r="N44" i="15" s="1"/>
  <c r="L210" i="15"/>
  <c r="L213" i="15"/>
  <c r="L226" i="15"/>
  <c r="L214" i="15"/>
  <c r="K223" i="15"/>
  <c r="L35" i="15" s="1"/>
  <c r="N35" i="15" s="1"/>
  <c r="J214" i="15"/>
  <c r="K216" i="15"/>
  <c r="L28" i="15" s="1"/>
  <c r="N28" i="15" s="1"/>
  <c r="L216" i="15"/>
  <c r="J223" i="15"/>
  <c r="K212" i="15"/>
  <c r="L24" i="15" s="1"/>
  <c r="N24" i="15" s="1"/>
  <c r="L220" i="15"/>
  <c r="J213" i="15"/>
  <c r="K225" i="15"/>
  <c r="L37" i="15" s="1"/>
  <c r="N37" i="15" s="1"/>
  <c r="K218" i="15"/>
  <c r="L30" i="15" s="1"/>
  <c r="N30" i="15" s="1"/>
  <c r="J225" i="15"/>
  <c r="J218" i="15"/>
  <c r="K226" i="15"/>
  <c r="L38" i="15" s="1"/>
  <c r="N38" i="15" s="1"/>
  <c r="J220" i="15"/>
  <c r="K208" i="15"/>
  <c r="L20" i="15" s="1"/>
  <c r="N20" i="15" s="1"/>
  <c r="K221" i="15"/>
  <c r="L33" i="15" s="1"/>
  <c r="N33" i="15" s="1"/>
  <c r="J230" i="15"/>
  <c r="J221" i="15"/>
  <c r="L230" i="15"/>
  <c r="J208" i="15"/>
  <c r="N160" i="15"/>
  <c r="L209" i="15"/>
  <c r="K209" i="15"/>
  <c r="L21" i="15" s="1"/>
  <c r="N21" i="15" s="1"/>
  <c r="K231" i="15"/>
  <c r="L43" i="15" s="1"/>
  <c r="N43" i="15" s="1"/>
  <c r="J231" i="15"/>
  <c r="L206" i="15"/>
  <c r="K206" i="15"/>
  <c r="L18" i="15" s="1"/>
  <c r="N18" i="15" s="1"/>
  <c r="J206" i="15"/>
  <c r="P165" i="15"/>
  <c r="N165" i="15"/>
  <c r="P160" i="15"/>
  <c r="L229" i="15"/>
  <c r="K229" i="15"/>
  <c r="L41" i="15" s="1"/>
  <c r="N41" i="15" s="1"/>
  <c r="J229" i="15"/>
  <c r="L207" i="15"/>
  <c r="J207" i="15"/>
  <c r="L228" i="15"/>
  <c r="K228" i="15"/>
  <c r="L40" i="15" s="1"/>
  <c r="N40" i="15" s="1"/>
  <c r="P169" i="15"/>
  <c r="O158" i="15"/>
  <c r="I17" i="15" s="1"/>
  <c r="K17" i="15" s="1"/>
  <c r="N161" i="15"/>
  <c r="N169" i="15"/>
  <c r="N158" i="15"/>
  <c r="P171" i="15"/>
  <c r="P179" i="15"/>
  <c r="N171" i="15"/>
  <c r="P161" i="15"/>
  <c r="N177" i="15"/>
  <c r="P177" i="15"/>
  <c r="N163" i="15"/>
  <c r="P174" i="15"/>
  <c r="O163" i="15"/>
  <c r="I22" i="15" s="1"/>
  <c r="K22" i="15" s="1"/>
  <c r="O174" i="15"/>
  <c r="I33" i="15" s="1"/>
  <c r="K33" i="15" s="1"/>
  <c r="N180" i="15"/>
  <c r="P180" i="15"/>
  <c r="O159" i="15"/>
  <c r="I18" i="15" s="1"/>
  <c r="K18" i="15" s="1"/>
  <c r="N159" i="15"/>
  <c r="O185" i="15"/>
  <c r="I44" i="15" s="1"/>
  <c r="K44" i="15" s="1"/>
  <c r="N173" i="15"/>
  <c r="N185" i="15"/>
  <c r="O176" i="15"/>
  <c r="I35" i="15" s="1"/>
  <c r="K35" i="15" s="1"/>
  <c r="N176" i="15"/>
  <c r="O173" i="15"/>
  <c r="I32" i="15" s="1"/>
  <c r="K32" i="15" s="1"/>
  <c r="N184" i="15"/>
  <c r="O184" i="15"/>
  <c r="I43" i="15" s="1"/>
  <c r="K43" i="15" s="1"/>
  <c r="N179" i="15"/>
  <c r="O162" i="15"/>
  <c r="I21" i="15" s="1"/>
  <c r="K21" i="15" s="1"/>
  <c r="P162" i="15"/>
  <c r="N172" i="15"/>
  <c r="O166" i="15"/>
  <c r="I25" i="15" s="1"/>
  <c r="K25" i="15" s="1"/>
  <c r="P166" i="15"/>
  <c r="O172" i="15"/>
  <c r="I31" i="15" s="1"/>
  <c r="K31" i="15" s="1"/>
  <c r="P181" i="15"/>
  <c r="N183" i="15"/>
  <c r="O183" i="15"/>
  <c r="I42" i="15" s="1"/>
  <c r="K42" i="15" s="1"/>
  <c r="N181" i="15"/>
  <c r="P178" i="15"/>
  <c r="N178" i="15"/>
  <c r="P167" i="15"/>
  <c r="O167" i="15"/>
  <c r="I26" i="15" s="1"/>
  <c r="K26" i="15" s="1"/>
  <c r="N167" i="15"/>
  <c r="R84" i="15"/>
  <c r="N111" i="15"/>
  <c r="P133" i="15"/>
  <c r="O118" i="15"/>
  <c r="O122" i="15"/>
  <c r="O120" i="15"/>
  <c r="O112" i="15"/>
  <c r="N120" i="15"/>
  <c r="N118" i="15"/>
  <c r="N125" i="15"/>
  <c r="N126" i="15"/>
  <c r="N122" i="15"/>
  <c r="N129" i="15"/>
  <c r="P121" i="15"/>
  <c r="N112" i="15"/>
  <c r="S73" i="15"/>
  <c r="C26" i="15" s="1"/>
  <c r="E26" i="15" s="1"/>
  <c r="O111" i="15"/>
  <c r="N133" i="15"/>
  <c r="O129" i="15"/>
  <c r="O121" i="15"/>
  <c r="T85" i="15"/>
  <c r="O137" i="15"/>
  <c r="S85" i="15"/>
  <c r="C38" i="15" s="1"/>
  <c r="E38" i="15" s="1"/>
  <c r="O131" i="15"/>
  <c r="N131" i="15"/>
  <c r="S84" i="15"/>
  <c r="C37" i="15" s="1"/>
  <c r="E37" i="15" s="1"/>
  <c r="P135" i="15"/>
  <c r="O126" i="15"/>
  <c r="O125" i="15"/>
  <c r="O113" i="15"/>
  <c r="S65" i="15"/>
  <c r="C18" i="15" s="1"/>
  <c r="E18" i="15" s="1"/>
  <c r="O135" i="15"/>
  <c r="P137" i="15"/>
  <c r="S66" i="15"/>
  <c r="C19" i="15" s="1"/>
  <c r="E19" i="15" s="1"/>
  <c r="T66" i="15"/>
  <c r="S72" i="15"/>
  <c r="C25" i="15" s="1"/>
  <c r="E25" i="15" s="1"/>
  <c r="N113" i="15"/>
  <c r="T82" i="15"/>
  <c r="S67" i="15"/>
  <c r="C20" i="15" s="1"/>
  <c r="E20" i="15" s="1"/>
  <c r="S82" i="15"/>
  <c r="C35" i="15" s="1"/>
  <c r="E35" i="15" s="1"/>
  <c r="N130" i="15"/>
  <c r="O130" i="15"/>
  <c r="R73" i="15"/>
  <c r="S75" i="15"/>
  <c r="C28" i="15" s="1"/>
  <c r="E28" i="15" s="1"/>
  <c r="R65" i="15"/>
  <c r="T75" i="15"/>
  <c r="R86" i="15"/>
  <c r="N114" i="15"/>
  <c r="O114" i="15"/>
  <c r="T80" i="15"/>
  <c r="S80" i="15"/>
  <c r="C33" i="15" s="1"/>
  <c r="E33" i="15" s="1"/>
  <c r="N138" i="15"/>
  <c r="O138" i="15"/>
  <c r="S78" i="15"/>
  <c r="C31" i="15" s="1"/>
  <c r="E31" i="15" s="1"/>
  <c r="S86" i="15"/>
  <c r="C39" i="15" s="1"/>
  <c r="E39" i="15" s="1"/>
  <c r="D24" i="9" s="1"/>
  <c r="O124" i="15"/>
  <c r="T72" i="15"/>
  <c r="S74" i="15"/>
  <c r="C27" i="15" s="1"/>
  <c r="E27" i="15" s="1"/>
  <c r="O136" i="15"/>
  <c r="T74" i="15"/>
  <c r="N134" i="15"/>
  <c r="O116" i="15"/>
  <c r="P124" i="15"/>
  <c r="O134" i="15"/>
  <c r="N116" i="15"/>
  <c r="R78" i="15"/>
  <c r="O127" i="15"/>
  <c r="S68" i="15"/>
  <c r="C21" i="15" s="1"/>
  <c r="E21" i="15" s="1"/>
  <c r="R68" i="15"/>
  <c r="R69" i="15"/>
  <c r="S91" i="15"/>
  <c r="C44" i="15" s="1"/>
  <c r="E44" i="15" s="1"/>
  <c r="N127" i="15"/>
  <c r="S69" i="15"/>
  <c r="C22" i="15" s="1"/>
  <c r="E22" i="15" s="1"/>
  <c r="S77" i="15"/>
  <c r="C30" i="15" s="1"/>
  <c r="E30" i="15" s="1"/>
  <c r="S83" i="15"/>
  <c r="C36" i="15" s="1"/>
  <c r="E36" i="15" s="1"/>
  <c r="T91" i="15"/>
  <c r="S71" i="15"/>
  <c r="C24" i="15" s="1"/>
  <c r="E24" i="15" s="1"/>
  <c r="N136" i="15"/>
  <c r="R71" i="15"/>
  <c r="S79" i="15"/>
  <c r="C32" i="15" s="1"/>
  <c r="E32" i="15" s="1"/>
  <c r="N132" i="15"/>
  <c r="T79" i="15"/>
  <c r="R77" i="15"/>
  <c r="O132" i="15"/>
  <c r="R67" i="15"/>
  <c r="R90" i="15"/>
  <c r="R83" i="15"/>
  <c r="P115" i="15"/>
  <c r="N115" i="15"/>
  <c r="T87" i="15"/>
  <c r="S87" i="15"/>
  <c r="C40" i="15" s="1"/>
  <c r="E40" i="15" s="1"/>
  <c r="R87" i="15"/>
  <c r="S90" i="15"/>
  <c r="C43" i="15" s="1"/>
  <c r="E43" i="15" s="1"/>
  <c r="P119" i="15"/>
  <c r="O119" i="15"/>
  <c r="N119" i="15"/>
  <c r="R64" i="15"/>
  <c r="S64" i="15"/>
  <c r="C17" i="15" s="1"/>
  <c r="E17" i="15" s="1"/>
  <c r="T89" i="15"/>
  <c r="S89" i="15"/>
  <c r="C42" i="15" s="1"/>
  <c r="E42" i="15" s="1"/>
  <c r="R89" i="15"/>
  <c r="S88" i="15"/>
  <c r="C41" i="15" s="1"/>
  <c r="E41" i="15" s="1"/>
  <c r="T88" i="15"/>
  <c r="R88" i="15"/>
  <c r="P209" i="14"/>
  <c r="O216" i="14"/>
  <c r="L28" i="14" s="1"/>
  <c r="N28" i="14" s="1"/>
  <c r="O28" i="14" s="1"/>
  <c r="P212" i="14"/>
  <c r="N216" i="14"/>
  <c r="O205" i="14"/>
  <c r="L17" i="14" s="1"/>
  <c r="N17" i="14" s="1"/>
  <c r="O17" i="14" s="1"/>
  <c r="N209" i="14"/>
  <c r="P224" i="14"/>
  <c r="N224" i="14"/>
  <c r="N205" i="14"/>
  <c r="P225" i="14"/>
  <c r="O212" i="14"/>
  <c r="L24" i="14" s="1"/>
  <c r="N24" i="14" s="1"/>
  <c r="O24" i="14" s="1"/>
  <c r="N210" i="14"/>
  <c r="P219" i="14"/>
  <c r="O232" i="14"/>
  <c r="L44" i="14" s="1"/>
  <c r="N44" i="14" s="1"/>
  <c r="O44" i="14" s="1"/>
  <c r="N214" i="14"/>
  <c r="O214" i="14"/>
  <c r="L26" i="14" s="1"/>
  <c r="N26" i="14" s="1"/>
  <c r="O26" i="14" s="1"/>
  <c r="P226" i="14"/>
  <c r="N231" i="14"/>
  <c r="N226" i="14"/>
  <c r="O231" i="14"/>
  <c r="L43" i="14" s="1"/>
  <c r="N43" i="14" s="1"/>
  <c r="O43" i="14" s="1"/>
  <c r="O210" i="14"/>
  <c r="L22" i="14" s="1"/>
  <c r="N22" i="14" s="1"/>
  <c r="O22" i="14" s="1"/>
  <c r="N221" i="14"/>
  <c r="N229" i="14"/>
  <c r="P229" i="14"/>
  <c r="N219" i="14"/>
  <c r="N225" i="14"/>
  <c r="N227" i="14"/>
  <c r="P228" i="14"/>
  <c r="O220" i="14"/>
  <c r="L32" i="14" s="1"/>
  <c r="N32" i="14" s="1"/>
  <c r="O32" i="14" s="1"/>
  <c r="O227" i="14"/>
  <c r="L39" i="14" s="1"/>
  <c r="N39" i="14" s="1"/>
  <c r="O39" i="14" s="1"/>
  <c r="N207" i="14"/>
  <c r="O207" i="14"/>
  <c r="L19" i="14" s="1"/>
  <c r="N19" i="14" s="1"/>
  <c r="O19" i="14" s="1"/>
  <c r="O213" i="14"/>
  <c r="L25" i="14" s="1"/>
  <c r="N25" i="14" s="1"/>
  <c r="O25" i="14" s="1"/>
  <c r="N223" i="14"/>
  <c r="N215" i="14"/>
  <c r="O223" i="14"/>
  <c r="L35" i="14" s="1"/>
  <c r="N35" i="14" s="1"/>
  <c r="O35" i="14" s="1"/>
  <c r="O215" i="14"/>
  <c r="L27" i="14" s="1"/>
  <c r="N27" i="14" s="1"/>
  <c r="O27" i="14" s="1"/>
  <c r="O221" i="14"/>
  <c r="L33" i="14" s="1"/>
  <c r="N33" i="14" s="1"/>
  <c r="O33" i="14" s="1"/>
  <c r="N232" i="14"/>
  <c r="P220" i="14"/>
  <c r="O218" i="14"/>
  <c r="L30" i="14" s="1"/>
  <c r="N30" i="14" s="1"/>
  <c r="O30" i="14" s="1"/>
  <c r="P218" i="14"/>
  <c r="N228" i="14"/>
  <c r="N230" i="14"/>
  <c r="O230" i="14"/>
  <c r="L42" i="14" s="1"/>
  <c r="N42" i="14" s="1"/>
  <c r="O42" i="14" s="1"/>
  <c r="N206" i="14"/>
  <c r="N208" i="14"/>
  <c r="O206" i="14"/>
  <c r="L18" i="14" s="1"/>
  <c r="N18" i="14" s="1"/>
  <c r="O18" i="14" s="1"/>
  <c r="P208" i="14"/>
  <c r="N213" i="14"/>
  <c r="R124" i="14"/>
  <c r="T124" i="14"/>
  <c r="S178" i="14"/>
  <c r="I37" i="14" s="1"/>
  <c r="K37" i="14" s="1"/>
  <c r="R178" i="14"/>
  <c r="R138" i="14"/>
  <c r="S179" i="14"/>
  <c r="I38" i="14" s="1"/>
  <c r="K38" i="14" s="1"/>
  <c r="R181" i="14"/>
  <c r="S181" i="14"/>
  <c r="I40" i="14" s="1"/>
  <c r="K40" i="14" s="1"/>
  <c r="S125" i="14"/>
  <c r="F31" i="14" s="1"/>
  <c r="H31" i="14" s="1"/>
  <c r="T173" i="14"/>
  <c r="T163" i="14"/>
  <c r="R171" i="14"/>
  <c r="S171" i="14"/>
  <c r="I30" i="14" s="1"/>
  <c r="K30" i="14" s="1"/>
  <c r="S173" i="14"/>
  <c r="I32" i="14" s="1"/>
  <c r="K32" i="14" s="1"/>
  <c r="T177" i="14"/>
  <c r="R163" i="14"/>
  <c r="R160" i="14"/>
  <c r="R185" i="14"/>
  <c r="T169" i="14"/>
  <c r="S160" i="14"/>
  <c r="I19" i="14" s="1"/>
  <c r="K19" i="14" s="1"/>
  <c r="S185" i="14"/>
  <c r="I44" i="14" s="1"/>
  <c r="K44" i="14" s="1"/>
  <c r="R176" i="14"/>
  <c r="S162" i="14"/>
  <c r="I21" i="14" s="1"/>
  <c r="K21" i="14" s="1"/>
  <c r="S176" i="14"/>
  <c r="I35" i="14" s="1"/>
  <c r="K35" i="14" s="1"/>
  <c r="T126" i="14"/>
  <c r="R172" i="14"/>
  <c r="R120" i="14"/>
  <c r="S172" i="14"/>
  <c r="I31" i="14" s="1"/>
  <c r="K31" i="14" s="1"/>
  <c r="S177" i="14"/>
  <c r="I36" i="14" s="1"/>
  <c r="K36" i="14" s="1"/>
  <c r="R161" i="14"/>
  <c r="S161" i="14"/>
  <c r="I20" i="14" s="1"/>
  <c r="K20" i="14" s="1"/>
  <c r="T162" i="14"/>
  <c r="R158" i="14"/>
  <c r="R180" i="14"/>
  <c r="S158" i="14"/>
  <c r="I17" i="14" s="1"/>
  <c r="K17" i="14" s="1"/>
  <c r="T179" i="14"/>
  <c r="T111" i="14"/>
  <c r="S111" i="14"/>
  <c r="F17" i="14" s="1"/>
  <c r="H17" i="14" s="1"/>
  <c r="R169" i="14"/>
  <c r="T129" i="14"/>
  <c r="R129" i="14"/>
  <c r="R113" i="14"/>
  <c r="S167" i="14"/>
  <c r="I26" i="14" s="1"/>
  <c r="K26" i="14" s="1"/>
  <c r="T113" i="14"/>
  <c r="R165" i="14"/>
  <c r="T167" i="14"/>
  <c r="S126" i="14"/>
  <c r="F32" i="14" s="1"/>
  <c r="H32" i="14" s="1"/>
  <c r="T131" i="14"/>
  <c r="T165" i="14"/>
  <c r="S131" i="14"/>
  <c r="F37" i="14" s="1"/>
  <c r="H37" i="14" s="1"/>
  <c r="T121" i="14"/>
  <c r="S121" i="14"/>
  <c r="F27" i="14" s="1"/>
  <c r="H27" i="14" s="1"/>
  <c r="R183" i="14"/>
  <c r="T184" i="14"/>
  <c r="S120" i="14"/>
  <c r="F26" i="14" s="1"/>
  <c r="H26" i="14" s="1"/>
  <c r="R184" i="14"/>
  <c r="S159" i="14"/>
  <c r="I18" i="14" s="1"/>
  <c r="K18" i="14" s="1"/>
  <c r="R159" i="14"/>
  <c r="R112" i="14"/>
  <c r="S180" i="14"/>
  <c r="I39" i="14" s="1"/>
  <c r="K39" i="14" s="1"/>
  <c r="S138" i="14"/>
  <c r="F44" i="14" s="1"/>
  <c r="H44" i="14" s="1"/>
  <c r="S183" i="14"/>
  <c r="I42" i="14" s="1"/>
  <c r="K42" i="14" s="1"/>
  <c r="R132" i="14"/>
  <c r="T174" i="14"/>
  <c r="S127" i="14"/>
  <c r="F33" i="14" s="1"/>
  <c r="H33" i="14" s="1"/>
  <c r="R166" i="14"/>
  <c r="T182" i="14"/>
  <c r="S132" i="14"/>
  <c r="F38" i="14" s="1"/>
  <c r="H38" i="14" s="1"/>
  <c r="S166" i="14"/>
  <c r="I25" i="14" s="1"/>
  <c r="K25" i="14" s="1"/>
  <c r="R182" i="14"/>
  <c r="S122" i="14"/>
  <c r="F28" i="14" s="1"/>
  <c r="H28" i="14" s="1"/>
  <c r="T135" i="14"/>
  <c r="S135" i="14"/>
  <c r="F41" i="14" s="1"/>
  <c r="H41" i="14" s="1"/>
  <c r="R116" i="14"/>
  <c r="S116" i="14"/>
  <c r="F22" i="14" s="1"/>
  <c r="H22" i="14" s="1"/>
  <c r="R174" i="14"/>
  <c r="R125" i="14"/>
  <c r="R114" i="14"/>
  <c r="R122" i="14"/>
  <c r="S114" i="14"/>
  <c r="F20" i="14" s="1"/>
  <c r="H20" i="14" s="1"/>
  <c r="T137" i="14"/>
  <c r="T168" i="14"/>
  <c r="R168" i="14"/>
  <c r="S168" i="14"/>
  <c r="I27" i="14" s="1"/>
  <c r="K27" i="14" s="1"/>
  <c r="R134" i="14"/>
  <c r="S112" i="14"/>
  <c r="F18" i="14" s="1"/>
  <c r="H18" i="14" s="1"/>
  <c r="S134" i="14"/>
  <c r="F40" i="14" s="1"/>
  <c r="H40" i="14" s="1"/>
  <c r="R137" i="14"/>
  <c r="R127" i="14"/>
  <c r="T130" i="14"/>
  <c r="T115" i="14"/>
  <c r="S115" i="14"/>
  <c r="F21" i="14" s="1"/>
  <c r="H21" i="14" s="1"/>
  <c r="S130" i="14"/>
  <c r="F36" i="14" s="1"/>
  <c r="H36" i="14" s="1"/>
  <c r="T118" i="14"/>
  <c r="S118" i="14"/>
  <c r="F24" i="14" s="1"/>
  <c r="H24" i="14" s="1"/>
  <c r="R118" i="14"/>
  <c r="R136" i="14"/>
  <c r="S136" i="14"/>
  <c r="F42" i="14" s="1"/>
  <c r="H42" i="14" s="1"/>
  <c r="T136" i="14"/>
  <c r="R133" i="14"/>
  <c r="T133" i="14"/>
  <c r="S133" i="14"/>
  <c r="F39" i="14" s="1"/>
  <c r="H39" i="14" s="1"/>
  <c r="T119" i="14"/>
  <c r="R119" i="14"/>
  <c r="S119" i="14"/>
  <c r="F25" i="14" s="1"/>
  <c r="H25" i="14" s="1"/>
  <c r="Q17" i="14" l="1"/>
  <c r="H2" i="9"/>
  <c r="Q26" i="14"/>
  <c r="H11" i="9"/>
  <c r="U5" i="9"/>
  <c r="T5" i="9"/>
  <c r="S5" i="9"/>
  <c r="R5" i="9"/>
  <c r="V5" i="9"/>
  <c r="Q33" i="14"/>
  <c r="H18" i="9"/>
  <c r="H29" i="9"/>
  <c r="Q44" i="14"/>
  <c r="Q28" i="14"/>
  <c r="H13" i="9"/>
  <c r="T16" i="9"/>
  <c r="S16" i="9"/>
  <c r="R16" i="9"/>
  <c r="U16" i="9"/>
  <c r="V16" i="9"/>
  <c r="Q27" i="14"/>
  <c r="H12" i="9"/>
  <c r="H9" i="9"/>
  <c r="Q24" i="14"/>
  <c r="U23" i="9"/>
  <c r="T23" i="9"/>
  <c r="S23" i="9"/>
  <c r="R23" i="9"/>
  <c r="V23" i="9"/>
  <c r="U6" i="9"/>
  <c r="T6" i="9"/>
  <c r="S6" i="9"/>
  <c r="R6" i="9"/>
  <c r="V6" i="9"/>
  <c r="H20" i="9"/>
  <c r="Q35" i="14"/>
  <c r="H27" i="9"/>
  <c r="Q42" i="14"/>
  <c r="Q18" i="14"/>
  <c r="H3" i="9"/>
  <c r="Q25" i="14"/>
  <c r="H10" i="9"/>
  <c r="H7" i="9"/>
  <c r="Q22" i="14"/>
  <c r="Q19" i="14"/>
  <c r="H4" i="9"/>
  <c r="H28" i="9"/>
  <c r="Q43" i="14"/>
  <c r="Q30" i="14"/>
  <c r="H15" i="9"/>
  <c r="S26" i="9"/>
  <c r="U26" i="9"/>
  <c r="T26" i="9"/>
  <c r="R26" i="9"/>
  <c r="V26" i="9"/>
  <c r="H24" i="9"/>
  <c r="Q39" i="14"/>
  <c r="Q32" i="14"/>
  <c r="H17" i="9"/>
  <c r="R25" i="9"/>
  <c r="U25" i="9"/>
  <c r="T25" i="9"/>
  <c r="S25" i="9"/>
  <c r="V25" i="9"/>
  <c r="U22" i="9"/>
  <c r="T22" i="9"/>
  <c r="S22" i="9"/>
  <c r="R22" i="9"/>
  <c r="V22" i="9"/>
  <c r="U21" i="9"/>
  <c r="T21" i="9"/>
  <c r="S21" i="9"/>
  <c r="R21" i="9"/>
  <c r="V21" i="9"/>
  <c r="G18" i="9"/>
  <c r="G5" i="9"/>
  <c r="G15" i="9"/>
  <c r="G3" i="9"/>
  <c r="G17" i="9"/>
  <c r="G24" i="9"/>
  <c r="G22" i="9"/>
  <c r="G29" i="9"/>
  <c r="G11" i="9"/>
  <c r="F9" i="9"/>
  <c r="F15" i="9"/>
  <c r="F17" i="9"/>
  <c r="F18" i="9"/>
  <c r="F24" i="9"/>
  <c r="F2" i="9"/>
  <c r="F22" i="9"/>
  <c r="F23" i="9"/>
  <c r="F29" i="9"/>
  <c r="E11" i="9"/>
  <c r="E15" i="9"/>
  <c r="E18" i="9"/>
  <c r="E20" i="9"/>
  <c r="E23" i="9"/>
  <c r="E2" i="9"/>
  <c r="E28" i="9"/>
  <c r="E26" i="9"/>
  <c r="E22" i="9"/>
  <c r="D6" i="9"/>
  <c r="F20" i="15"/>
  <c r="F26" i="15"/>
  <c r="F33" i="15"/>
  <c r="F36" i="15"/>
  <c r="F28" i="15"/>
  <c r="F30" i="15"/>
  <c r="F37" i="15"/>
  <c r="F24" i="15"/>
  <c r="F40" i="15"/>
  <c r="F41" i="15"/>
  <c r="F43" i="15"/>
  <c r="F25" i="15"/>
  <c r="F38" i="15"/>
  <c r="F22" i="15"/>
  <c r="F44" i="15"/>
  <c r="F19" i="15"/>
  <c r="F27" i="15"/>
  <c r="F31" i="15"/>
  <c r="F35" i="15"/>
  <c r="F42" i="15"/>
  <c r="F32" i="15"/>
  <c r="F18" i="15"/>
  <c r="F17" i="15"/>
  <c r="T2" i="9" l="1"/>
  <c r="S2" i="9"/>
  <c r="R2" i="9"/>
  <c r="U2" i="9"/>
  <c r="V2" i="9"/>
  <c r="T27" i="9"/>
  <c r="S27" i="9"/>
  <c r="U27" i="9"/>
  <c r="R27" i="9"/>
  <c r="V27" i="9"/>
  <c r="T29" i="9"/>
  <c r="S29" i="9"/>
  <c r="R29" i="9"/>
  <c r="U29" i="9"/>
  <c r="V29" i="9"/>
  <c r="S13" i="9"/>
  <c r="R13" i="9"/>
  <c r="T13" i="9"/>
  <c r="U13" i="9"/>
  <c r="V13" i="9"/>
  <c r="R28" i="9"/>
  <c r="S28" i="9"/>
  <c r="T28" i="9"/>
  <c r="U28" i="9"/>
  <c r="V28" i="9"/>
  <c r="U18" i="9"/>
  <c r="T18" i="9"/>
  <c r="S18" i="9"/>
  <c r="R18" i="9"/>
  <c r="V18" i="9"/>
  <c r="U24" i="9"/>
  <c r="T24" i="9"/>
  <c r="S24" i="9"/>
  <c r="R24" i="9"/>
  <c r="V24" i="9"/>
  <c r="U20" i="9"/>
  <c r="T20" i="9"/>
  <c r="S20" i="9"/>
  <c r="R20" i="9"/>
  <c r="V20" i="9"/>
  <c r="U4" i="9"/>
  <c r="T4" i="9"/>
  <c r="S4" i="9"/>
  <c r="R4" i="9"/>
  <c r="V4" i="9"/>
  <c r="R12" i="9"/>
  <c r="S12" i="9"/>
  <c r="U12" i="9"/>
  <c r="T12" i="9"/>
  <c r="V12" i="9"/>
  <c r="U7" i="9"/>
  <c r="T7" i="9"/>
  <c r="S7" i="9"/>
  <c r="R7" i="9"/>
  <c r="V7" i="9"/>
  <c r="U10" i="9"/>
  <c r="T10" i="9"/>
  <c r="S10" i="9"/>
  <c r="R10" i="9"/>
  <c r="V10" i="9"/>
  <c r="R15" i="9"/>
  <c r="T15" i="9"/>
  <c r="U15" i="9"/>
  <c r="S15" i="9"/>
  <c r="V15" i="9"/>
  <c r="U17" i="9"/>
  <c r="T17" i="9"/>
  <c r="S17" i="9"/>
  <c r="R17" i="9"/>
  <c r="V17" i="9"/>
  <c r="U9" i="9"/>
  <c r="T9" i="9"/>
  <c r="S9" i="9"/>
  <c r="R9" i="9"/>
  <c r="V9" i="9"/>
  <c r="U3" i="9"/>
  <c r="T3" i="9"/>
  <c r="S3" i="9"/>
  <c r="R3" i="9"/>
  <c r="V3" i="9"/>
  <c r="R11" i="9"/>
  <c r="U11" i="9"/>
  <c r="T11" i="9"/>
  <c r="S11" i="9"/>
  <c r="V11" i="9"/>
  <c r="H42" i="15"/>
  <c r="D27" i="9" s="1"/>
  <c r="H17" i="15"/>
  <c r="D2" i="9" s="1"/>
  <c r="H35" i="15"/>
  <c r="D20" i="9" s="1"/>
  <c r="H24" i="15"/>
  <c r="D9" i="9" s="1"/>
  <c r="H18" i="15"/>
  <c r="D3" i="9" s="1"/>
  <c r="H37" i="15"/>
  <c r="D22" i="9" s="1"/>
  <c r="H20" i="15"/>
  <c r="D5" i="9" s="1"/>
  <c r="H41" i="15"/>
  <c r="D26" i="9" s="1"/>
  <c r="H40" i="15"/>
  <c r="D25" i="9" s="1"/>
  <c r="H27" i="15"/>
  <c r="D12" i="9" s="1"/>
  <c r="H30" i="15"/>
  <c r="D15" i="9" s="1"/>
  <c r="H32" i="15"/>
  <c r="D17" i="9" s="1"/>
  <c r="H19" i="15"/>
  <c r="D4" i="9" s="1"/>
  <c r="H28" i="15"/>
  <c r="D13" i="9" s="1"/>
  <c r="H25" i="15"/>
  <c r="D10" i="9" s="1"/>
  <c r="H44" i="15"/>
  <c r="D29" i="9" s="1"/>
  <c r="H36" i="15"/>
  <c r="D21" i="9" s="1"/>
  <c r="H22" i="15"/>
  <c r="D7" i="9" s="1"/>
  <c r="H33" i="15"/>
  <c r="D18" i="9" s="1"/>
  <c r="H43" i="15"/>
  <c r="D28" i="9" s="1"/>
  <c r="H31" i="15"/>
  <c r="D16" i="9" s="1"/>
  <c r="H38" i="15"/>
  <c r="D23" i="9" s="1"/>
  <c r="H26" i="15"/>
  <c r="D11" i="9" s="1"/>
  <c r="O69" i="14"/>
  <c r="P69" i="14" s="1"/>
  <c r="O75" i="14"/>
  <c r="P75" i="14" s="1"/>
  <c r="O68" i="14"/>
  <c r="P68" i="14" s="1"/>
  <c r="O72" i="14"/>
  <c r="P72" i="14" s="1"/>
  <c r="O84" i="14"/>
  <c r="P84" i="14" s="1"/>
  <c r="K71" i="14"/>
  <c r="L71" i="14" s="1"/>
  <c r="K83" i="14"/>
  <c r="L83" i="14" s="1"/>
  <c r="O83" i="14"/>
  <c r="P83" i="14" s="1"/>
  <c r="O66" i="14"/>
  <c r="P66" i="14" s="1"/>
  <c r="K78" i="14"/>
  <c r="L78" i="14" s="1"/>
  <c r="O90" i="14"/>
  <c r="P90" i="14" s="1"/>
  <c r="K90" i="14"/>
  <c r="L90" i="14" s="1"/>
  <c r="O78" i="14"/>
  <c r="P78" i="14" s="1"/>
  <c r="K66" i="14"/>
  <c r="L66" i="14" s="1"/>
  <c r="O71" i="14"/>
  <c r="P71" i="14" s="1"/>
  <c r="K89" i="14"/>
  <c r="L89" i="14" s="1"/>
  <c r="K77" i="14"/>
  <c r="L77" i="14" s="1"/>
  <c r="K65" i="14"/>
  <c r="L65" i="14" s="1"/>
  <c r="O89" i="14"/>
  <c r="P89" i="14" s="1"/>
  <c r="O77" i="14"/>
  <c r="P77" i="14" s="1"/>
  <c r="O88" i="14"/>
  <c r="P88" i="14" s="1"/>
  <c r="O82" i="14"/>
  <c r="P82" i="14" s="1"/>
  <c r="O64" i="14"/>
  <c r="P64" i="14" s="1"/>
  <c r="O65" i="14"/>
  <c r="P65" i="14" s="1"/>
  <c r="O80" i="14"/>
  <c r="P80" i="14" s="1"/>
  <c r="K91" i="14"/>
  <c r="L91" i="14" s="1"/>
  <c r="K79" i="14"/>
  <c r="L79" i="14" s="1"/>
  <c r="K67" i="14"/>
  <c r="L67" i="14" s="1"/>
  <c r="O91" i="14"/>
  <c r="P91" i="14" s="1"/>
  <c r="O79" i="14"/>
  <c r="P79" i="14" s="1"/>
  <c r="O67" i="14"/>
  <c r="P67" i="14" s="1"/>
  <c r="O87" i="14"/>
  <c r="P87" i="14" s="1"/>
  <c r="O74" i="14"/>
  <c r="P74" i="14" s="1"/>
  <c r="K88" i="14"/>
  <c r="L88" i="14" s="1"/>
  <c r="O86" i="14"/>
  <c r="P86" i="14" s="1"/>
  <c r="O73" i="14"/>
  <c r="P73" i="14" s="1"/>
  <c r="O85" i="14"/>
  <c r="P85" i="14" s="1"/>
  <c r="K87" i="14"/>
  <c r="L87" i="14" s="1"/>
  <c r="K75" i="14"/>
  <c r="L75" i="14" s="1"/>
  <c r="K86" i="14"/>
  <c r="L86" i="14" s="1"/>
  <c r="K85" i="14"/>
  <c r="L85" i="14" s="1"/>
  <c r="K73" i="14"/>
  <c r="L73" i="14" s="1"/>
  <c r="K74" i="14"/>
  <c r="L74" i="14" s="1"/>
  <c r="K84" i="14"/>
  <c r="L84" i="14" s="1"/>
  <c r="K72" i="14"/>
  <c r="L72" i="14" s="1"/>
  <c r="K82" i="14"/>
  <c r="L82" i="14" s="1"/>
  <c r="K69" i="14"/>
  <c r="L69" i="14" s="1"/>
  <c r="K80" i="14"/>
  <c r="L80" i="14" s="1"/>
  <c r="K68" i="14"/>
  <c r="L68" i="14" s="1"/>
  <c r="K64" i="14"/>
  <c r="L64" i="14" s="1"/>
  <c r="F84" i="14"/>
  <c r="G84" i="14" s="1"/>
  <c r="F72" i="14"/>
  <c r="G72" i="14" s="1"/>
  <c r="F88" i="14"/>
  <c r="G88" i="14" s="1"/>
  <c r="F87" i="14"/>
  <c r="G87" i="14" s="1"/>
  <c r="F75" i="14"/>
  <c r="G75" i="14" s="1"/>
  <c r="F83" i="14"/>
  <c r="G83" i="14" s="1"/>
  <c r="F80" i="14"/>
  <c r="G80" i="14" s="1"/>
  <c r="F86" i="14"/>
  <c r="G86" i="14" s="1"/>
  <c r="F74" i="14"/>
  <c r="G74" i="14" s="1"/>
  <c r="F68" i="14"/>
  <c r="G68" i="14" s="1"/>
  <c r="F71" i="14"/>
  <c r="G71" i="14" s="1"/>
  <c r="F91" i="14"/>
  <c r="G91" i="14" s="1"/>
  <c r="F79" i="14"/>
  <c r="G79" i="14" s="1"/>
  <c r="F67" i="14"/>
  <c r="G67" i="14" s="1"/>
  <c r="F82" i="14"/>
  <c r="G82" i="14" s="1"/>
  <c r="F69" i="14"/>
  <c r="G69" i="14" s="1"/>
  <c r="F85" i="14"/>
  <c r="G85" i="14" s="1"/>
  <c r="F73" i="14"/>
  <c r="G73" i="14" s="1"/>
  <c r="F90" i="14"/>
  <c r="G90" i="14" s="1"/>
  <c r="F78" i="14"/>
  <c r="G78" i="14" s="1"/>
  <c r="F66" i="14"/>
  <c r="G66" i="14" s="1"/>
  <c r="F77" i="14"/>
  <c r="G77" i="14" s="1"/>
  <c r="F65" i="14"/>
  <c r="G65" i="14" s="1"/>
  <c r="F89" i="14"/>
  <c r="G89" i="14" s="1"/>
  <c r="F64" i="14"/>
  <c r="G64" i="14" s="1"/>
  <c r="Q83" i="14" l="1"/>
  <c r="T83" i="14" s="1"/>
  <c r="Q75" i="14"/>
  <c r="T75" i="14" s="1"/>
  <c r="Q89" i="14"/>
  <c r="T89" i="14" s="1"/>
  <c r="Q91" i="14"/>
  <c r="T91" i="14" s="1"/>
  <c r="Q87" i="14"/>
  <c r="T87" i="14" s="1"/>
  <c r="Q67" i="14"/>
  <c r="T67" i="14" s="1"/>
  <c r="Q80" i="14"/>
  <c r="T80" i="14" s="1"/>
  <c r="Q77" i="14"/>
  <c r="T77" i="14" s="1"/>
  <c r="Q79" i="14"/>
  <c r="T79" i="14" s="1"/>
  <c r="Q85" i="14"/>
  <c r="T85" i="14" s="1"/>
  <c r="Q69" i="14"/>
  <c r="T69" i="14" s="1"/>
  <c r="Q84" i="14"/>
  <c r="T84" i="14" s="1"/>
  <c r="Q90" i="14"/>
  <c r="T90" i="14" s="1"/>
  <c r="Q74" i="14"/>
  <c r="T74" i="14" s="1"/>
  <c r="Q64" i="14"/>
  <c r="T64" i="14" s="1"/>
  <c r="Q82" i="14"/>
  <c r="T82" i="14" s="1"/>
  <c r="Q88" i="14"/>
  <c r="T88" i="14" s="1"/>
  <c r="Q72" i="14"/>
  <c r="T72" i="14" s="1"/>
  <c r="Q66" i="14"/>
  <c r="T66" i="14" s="1"/>
  <c r="Q71" i="14"/>
  <c r="T71" i="14" s="1"/>
  <c r="Q65" i="14"/>
  <c r="T65" i="14" s="1"/>
  <c r="Q68" i="14"/>
  <c r="T68" i="14" s="1"/>
  <c r="Q78" i="14"/>
  <c r="T78" i="14" s="1"/>
  <c r="Q73" i="14"/>
  <c r="T73" i="14" s="1"/>
  <c r="Q86" i="14"/>
  <c r="T86" i="14" s="1"/>
  <c r="R91" i="14" l="1"/>
  <c r="S91" i="14"/>
  <c r="C44" i="14" s="1"/>
  <c r="E44" i="14" s="1"/>
  <c r="C29" i="9" s="1"/>
  <c r="R74" i="14"/>
  <c r="S74" i="14"/>
  <c r="C27" i="14" s="1"/>
  <c r="E27" i="14" s="1"/>
  <c r="C12" i="9" s="1"/>
  <c r="R73" i="14"/>
  <c r="S73" i="14"/>
  <c r="C26" i="14" s="1"/>
  <c r="E26" i="14" s="1"/>
  <c r="C11" i="9" s="1"/>
  <c r="R90" i="14"/>
  <c r="S90" i="14"/>
  <c r="C43" i="14" s="1"/>
  <c r="E43" i="14" s="1"/>
  <c r="C28" i="9" s="1"/>
  <c r="R75" i="14"/>
  <c r="S75" i="14"/>
  <c r="C28" i="14" s="1"/>
  <c r="E28" i="14" s="1"/>
  <c r="C13" i="9" s="1"/>
  <c r="R84" i="14"/>
  <c r="S84" i="14"/>
  <c r="C37" i="14" s="1"/>
  <c r="E37" i="14" s="1"/>
  <c r="C22" i="9" s="1"/>
  <c r="R83" i="14"/>
  <c r="S83" i="14"/>
  <c r="C36" i="14" s="1"/>
  <c r="E36" i="14" s="1"/>
  <c r="C21" i="9" s="1"/>
  <c r="R78" i="14"/>
  <c r="S78" i="14"/>
  <c r="C31" i="14" s="1"/>
  <c r="E31" i="14" s="1"/>
  <c r="C16" i="9" s="1"/>
  <c r="R69" i="14"/>
  <c r="S69" i="14"/>
  <c r="C22" i="14" s="1"/>
  <c r="E22" i="14" s="1"/>
  <c r="C7" i="9" s="1"/>
  <c r="R68" i="14"/>
  <c r="S68" i="14"/>
  <c r="C21" i="14" s="1"/>
  <c r="E21" i="14" s="1"/>
  <c r="C6" i="9" s="1"/>
  <c r="R85" i="14"/>
  <c r="S85" i="14"/>
  <c r="C38" i="14" s="1"/>
  <c r="E38" i="14" s="1"/>
  <c r="C23" i="9" s="1"/>
  <c r="R86" i="14"/>
  <c r="S86" i="14"/>
  <c r="C39" i="14" s="1"/>
  <c r="E39" i="14" s="1"/>
  <c r="C24" i="9" s="1"/>
  <c r="R65" i="14"/>
  <c r="S65" i="14"/>
  <c r="C18" i="14" s="1"/>
  <c r="E18" i="14" s="1"/>
  <c r="C3" i="9" s="1"/>
  <c r="R77" i="14"/>
  <c r="S77" i="14"/>
  <c r="C30" i="14" s="1"/>
  <c r="E30" i="14" s="1"/>
  <c r="C15" i="9" s="1"/>
  <c r="R66" i="14"/>
  <c r="S66" i="14"/>
  <c r="C19" i="14" s="1"/>
  <c r="E19" i="14" s="1"/>
  <c r="C4" i="9" s="1"/>
  <c r="R72" i="14"/>
  <c r="S72" i="14"/>
  <c r="C25" i="14" s="1"/>
  <c r="E25" i="14" s="1"/>
  <c r="C10" i="9" s="1"/>
  <c r="R88" i="14"/>
  <c r="S88" i="14"/>
  <c r="C41" i="14" s="1"/>
  <c r="E41" i="14" s="1"/>
  <c r="C26" i="9" s="1"/>
  <c r="R67" i="14"/>
  <c r="S67" i="14"/>
  <c r="C20" i="14" s="1"/>
  <c r="E20" i="14" s="1"/>
  <c r="C5" i="9" s="1"/>
  <c r="R89" i="14"/>
  <c r="S89" i="14"/>
  <c r="C42" i="14" s="1"/>
  <c r="E42" i="14" s="1"/>
  <c r="C27" i="9" s="1"/>
  <c r="R79" i="14"/>
  <c r="S79" i="14"/>
  <c r="C32" i="14" s="1"/>
  <c r="E32" i="14" s="1"/>
  <c r="C17" i="9" s="1"/>
  <c r="R71" i="14"/>
  <c r="S71" i="14"/>
  <c r="C24" i="14" s="1"/>
  <c r="E24" i="14" s="1"/>
  <c r="C9" i="9" s="1"/>
  <c r="R80" i="14"/>
  <c r="S80" i="14"/>
  <c r="C33" i="14" s="1"/>
  <c r="E33" i="14" s="1"/>
  <c r="C18" i="9" s="1"/>
  <c r="R82" i="14"/>
  <c r="S82" i="14"/>
  <c r="C35" i="14" s="1"/>
  <c r="E35" i="14" s="1"/>
  <c r="C20" i="9" s="1"/>
  <c r="R87" i="14"/>
  <c r="S87" i="14"/>
  <c r="C40" i="14" s="1"/>
  <c r="E40" i="14" s="1"/>
  <c r="C25" i="9" s="1"/>
  <c r="R64" i="14"/>
  <c r="S64" i="14"/>
  <c r="C17" i="14" s="1"/>
  <c r="E17" i="14" s="1"/>
  <c r="C2" i="9" s="1"/>
  <c r="I25" i="11"/>
  <c r="G25" i="11"/>
  <c r="E25" i="11"/>
  <c r="E24" i="11"/>
  <c r="G24" i="11"/>
  <c r="I24" i="11"/>
  <c r="E12" i="11"/>
  <c r="I12" i="11"/>
  <c r="G12" i="11"/>
  <c r="I23" i="11"/>
  <c r="G23" i="11"/>
  <c r="E23" i="11"/>
  <c r="E11" i="11"/>
  <c r="I11" i="11"/>
  <c r="G11" i="11"/>
  <c r="I22" i="11"/>
  <c r="G22" i="11"/>
  <c r="E22" i="11"/>
  <c r="E10" i="11"/>
  <c r="I10" i="11"/>
  <c r="G10" i="11"/>
  <c r="G21" i="11"/>
  <c r="E21" i="11"/>
  <c r="I21" i="11"/>
  <c r="G9" i="11"/>
  <c r="J9" i="11" s="1"/>
  <c r="C9" i="12" s="1"/>
  <c r="I9" i="11"/>
  <c r="E9" i="11"/>
  <c r="I13" i="11"/>
  <c r="G13" i="11"/>
  <c r="E13" i="11"/>
  <c r="I20" i="11"/>
  <c r="G20" i="11"/>
  <c r="E20" i="11"/>
  <c r="I7" i="11"/>
  <c r="G7" i="11"/>
  <c r="E7" i="11"/>
  <c r="G18" i="11"/>
  <c r="E18" i="11"/>
  <c r="I18" i="11"/>
  <c r="G6" i="11"/>
  <c r="I6" i="11"/>
  <c r="E6" i="11"/>
  <c r="G29" i="11"/>
  <c r="E29" i="11"/>
  <c r="I29" i="11"/>
  <c r="E17" i="11"/>
  <c r="I17" i="11"/>
  <c r="G17" i="11"/>
  <c r="I5" i="11"/>
  <c r="G5" i="11"/>
  <c r="E5" i="11"/>
  <c r="G28" i="11"/>
  <c r="I28" i="11"/>
  <c r="E28" i="11"/>
  <c r="J28" i="11" s="1"/>
  <c r="C28" i="12" s="1"/>
  <c r="G16" i="11"/>
  <c r="E16" i="11"/>
  <c r="I16" i="11"/>
  <c r="I4" i="11"/>
  <c r="G4" i="11"/>
  <c r="E4" i="11"/>
  <c r="J4" i="11" s="1"/>
  <c r="C4" i="12" s="1"/>
  <c r="G27" i="11"/>
  <c r="I27" i="11"/>
  <c r="E27" i="11"/>
  <c r="G15" i="11"/>
  <c r="E15" i="11"/>
  <c r="I15" i="11"/>
  <c r="I3" i="11"/>
  <c r="G3" i="11"/>
  <c r="E3" i="11"/>
  <c r="I26" i="11"/>
  <c r="G26" i="11"/>
  <c r="E26" i="11"/>
  <c r="G2" i="11"/>
  <c r="I2" i="11"/>
  <c r="E2" i="11"/>
  <c r="J16" i="11" l="1"/>
  <c r="C16" i="12" s="1"/>
  <c r="I16" i="12" s="1"/>
  <c r="J11" i="11"/>
  <c r="C11" i="12" s="1"/>
  <c r="I11" i="12" s="1"/>
  <c r="J3" i="11"/>
  <c r="C3" i="12" s="1"/>
  <c r="I3" i="12" s="1"/>
  <c r="J20" i="11"/>
  <c r="C20" i="12" s="1"/>
  <c r="G20" i="12" s="1"/>
  <c r="J2" i="11"/>
  <c r="C2" i="12" s="1"/>
  <c r="G2" i="12" s="1"/>
  <c r="J27" i="11"/>
  <c r="C27" i="12" s="1"/>
  <c r="I27" i="12" s="1"/>
  <c r="J5" i="11"/>
  <c r="C5" i="12" s="1"/>
  <c r="J29" i="11"/>
  <c r="C29" i="12" s="1"/>
  <c r="I29" i="12" s="1"/>
  <c r="J10" i="11"/>
  <c r="C10" i="12" s="1"/>
  <c r="G10" i="12" s="1"/>
  <c r="J26" i="11"/>
  <c r="C26" i="12" s="1"/>
  <c r="E26" i="12" s="1"/>
  <c r="J7" i="11"/>
  <c r="C7" i="12" s="1"/>
  <c r="I7" i="12" s="1"/>
  <c r="J21" i="11"/>
  <c r="C21" i="12" s="1"/>
  <c r="E21" i="12" s="1"/>
  <c r="J15" i="11"/>
  <c r="C15" i="12" s="1"/>
  <c r="G15" i="12" s="1"/>
  <c r="J25" i="11"/>
  <c r="C25" i="12" s="1"/>
  <c r="E25" i="12" s="1"/>
  <c r="J23" i="11"/>
  <c r="C23" i="12" s="1"/>
  <c r="E23" i="12" s="1"/>
  <c r="J13" i="11"/>
  <c r="C13" i="12" s="1"/>
  <c r="I13" i="12" s="1"/>
  <c r="J12" i="11"/>
  <c r="C12" i="12" s="1"/>
  <c r="G12" i="12" s="1"/>
  <c r="J22" i="11"/>
  <c r="C22" i="12" s="1"/>
  <c r="G22" i="12" s="1"/>
  <c r="J24" i="11"/>
  <c r="C24" i="12" s="1"/>
  <c r="E24" i="12" s="1"/>
  <c r="J17" i="11"/>
  <c r="C17" i="12" s="1"/>
  <c r="G17" i="12" s="1"/>
  <c r="J6" i="11"/>
  <c r="C6" i="12" s="1"/>
  <c r="I6" i="12" s="1"/>
  <c r="J18" i="11"/>
  <c r="C18" i="12" s="1"/>
  <c r="G18" i="12" s="1"/>
  <c r="E16" i="12"/>
  <c r="G16" i="12"/>
  <c r="I20" i="12"/>
  <c r="E7" i="12"/>
  <c r="E3" i="12"/>
  <c r="I4" i="12"/>
  <c r="G4" i="12"/>
  <c r="E4" i="12"/>
  <c r="G11" i="12"/>
  <c r="E11" i="12"/>
  <c r="I28" i="12"/>
  <c r="G28" i="12"/>
  <c r="E28" i="12"/>
  <c r="E29" i="12"/>
  <c r="I10" i="12"/>
  <c r="I26" i="12"/>
  <c r="G5" i="12"/>
  <c r="I5" i="12"/>
  <c r="E5" i="12"/>
  <c r="E9" i="12"/>
  <c r="G9" i="12"/>
  <c r="I9" i="12"/>
  <c r="E27" i="12"/>
  <c r="I24" i="12"/>
  <c r="E2" i="12"/>
  <c r="I2" i="12" l="1"/>
  <c r="J2" i="12" s="1"/>
  <c r="G25" i="12"/>
  <c r="E10" i="12"/>
  <c r="J10" i="12" s="1"/>
  <c r="E15" i="12"/>
  <c r="G24" i="12"/>
  <c r="G3" i="12"/>
  <c r="G7" i="12"/>
  <c r="J7" i="12" s="1"/>
  <c r="G6" i="12"/>
  <c r="I23" i="12"/>
  <c r="G27" i="12"/>
  <c r="E13" i="12"/>
  <c r="I22" i="12"/>
  <c r="E17" i="12"/>
  <c r="G21" i="12"/>
  <c r="I21" i="12"/>
  <c r="E20" i="12"/>
  <c r="J20" i="12" s="1"/>
  <c r="G29" i="12"/>
  <c r="J29" i="12" s="1"/>
  <c r="E22" i="12"/>
  <c r="G26" i="12"/>
  <c r="J26" i="12" s="1"/>
  <c r="I25" i="12"/>
  <c r="G13" i="12"/>
  <c r="I15" i="12"/>
  <c r="I12" i="12"/>
  <c r="I18" i="12"/>
  <c r="E12" i="12"/>
  <c r="E18" i="12"/>
  <c r="J18" i="12" s="1"/>
  <c r="G23" i="12"/>
  <c r="J23" i="12" s="1"/>
  <c r="J4" i="12"/>
  <c r="E6" i="12"/>
  <c r="I17" i="12"/>
  <c r="J17" i="12" s="1"/>
  <c r="J28" i="12"/>
  <c r="J15" i="12"/>
  <c r="J24" i="12"/>
  <c r="J16" i="12"/>
  <c r="J27" i="12"/>
  <c r="J5" i="12"/>
  <c r="J6" i="12"/>
  <c r="J3" i="12"/>
  <c r="J25" i="12"/>
  <c r="J9" i="12"/>
  <c r="J11" i="12"/>
  <c r="J22" i="12" l="1"/>
  <c r="J21" i="12"/>
  <c r="J13" i="12"/>
  <c r="J12" i="1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AB8313B-F886-43C7-A42C-5A0F35630B95}" keepAlive="1" name="Query - Employee_Calculate_Salary" description="Connection to the 'Employee_Calculate_Salary' query in the workbook." type="5" refreshedVersion="0" background="1">
    <dbPr connection="Provider=Microsoft.Mashup.OleDb.1;Data Source=$Workbook$;Location=Employee_Calculate_Salary;Extended Properties=&quot;&quot;" command="SELECT * FROM [Employee_Calculate_Salary]"/>
  </connection>
  <connection id="2" xr16:uid="{1EEF0675-B3DF-4F01-852F-9D02A7825040}"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3" xr16:uid="{1A7B58CB-ABD2-4018-AF6C-127FFD80A4E3}" name="WorksheetConnection_211-16-560.xlsx!Basic_Knowledge" type="102" refreshedVersion="7" minRefreshableVersion="5">
    <extLst>
      <ext xmlns:x15="http://schemas.microsoft.com/office/spreadsheetml/2010/11/main" uri="{DE250136-89BD-433C-8126-D09CA5730AF9}">
        <x15:connection id="Basic_Knowledge">
          <x15:rangePr sourceName="_xlcn.WorksheetConnection_21116560.xlsxBasic_Knowledge1"/>
        </x15:connection>
      </ext>
    </extLst>
  </connection>
  <connection id="4" xr16:uid="{E7DEA305-73CC-4E9B-834E-CFE95ED5BD64}" name="WorksheetConnection_211-16-560.xlsx!Cover_Page" type="102" refreshedVersion="7" minRefreshableVersion="5">
    <extLst>
      <ext xmlns:x15="http://schemas.microsoft.com/office/spreadsheetml/2010/11/main" uri="{DE250136-89BD-433C-8126-D09CA5730AF9}">
        <x15:connection id="Cover_Page">
          <x15:rangePr sourceName="_xlcn.WorksheetConnection_21116560.xlsxCover_Page1"/>
        </x15:connection>
      </ext>
    </extLst>
  </connection>
  <connection id="5" xr16:uid="{7CA2DB96-1F76-4459-B92A-B21B7B9A2933}" name="WorksheetConnection_211-16-560.xlsx!Employee_Calculate_Salary" type="102" refreshedVersion="7" minRefreshableVersion="5">
    <extLst>
      <ext xmlns:x15="http://schemas.microsoft.com/office/spreadsheetml/2010/11/main" uri="{DE250136-89BD-433C-8126-D09CA5730AF9}">
        <x15:connection id="Employee_Calculate_Salary">
          <x15:rangePr sourceName="_xlcn.WorksheetConnection_21116560.xlsxEmployee_Calculate_Salary1"/>
        </x15:connection>
      </ext>
    </extLst>
  </connection>
  <connection id="6" xr16:uid="{D48A8277-5F3C-4927-BD1D-2669E02A9374}" name="WorksheetConnection_211-16-560.xlsx!Employee_Information" type="102" refreshedVersion="7" minRefreshableVersion="5">
    <extLst>
      <ext xmlns:x15="http://schemas.microsoft.com/office/spreadsheetml/2010/11/main" uri="{DE250136-89BD-433C-8126-D09CA5730AF9}">
        <x15:connection id="Employee_Information">
          <x15:rangePr sourceName="_xlcn.WorksheetConnection_21116560.xlsxEmployee_Information1"/>
        </x15:connection>
      </ext>
    </extLst>
  </connection>
  <connection id="7" xr16:uid="{5539E554-F160-4446-ACE5-D5F2055E96B3}" name="WorksheetConnection_211-16-560.xlsx!First_Semester_CGPA" type="102" refreshedVersion="7" minRefreshableVersion="5">
    <extLst>
      <ext xmlns:x15="http://schemas.microsoft.com/office/spreadsheetml/2010/11/main" uri="{DE250136-89BD-433C-8126-D09CA5730AF9}">
        <x15:connection id="First_Semester_CGPA">
          <x15:rangePr sourceName="_xlcn.WorksheetConnection_21116560.xlsxFirst_Semester_CGPA1"/>
        </x15:connection>
      </ext>
    </extLst>
  </connection>
  <connection id="8" xr16:uid="{F7F2C598-D0E5-4132-AB30-ED052525212C}" name="WorksheetConnection_211-16-560.xlsx!First_Semester_Computer_Fundamentals" type="102" refreshedVersion="7" minRefreshableVersion="5">
    <extLst>
      <ext xmlns:x15="http://schemas.microsoft.com/office/spreadsheetml/2010/11/main" uri="{DE250136-89BD-433C-8126-D09CA5730AF9}">
        <x15:connection id="First_Semester_Computer_Fundamentals">
          <x15:rangePr sourceName="_xlcn.WorksheetConnection_21116560.xlsxFirst_Semester_Computer_Fundamentals1"/>
        </x15:connection>
      </ext>
    </extLst>
  </connection>
  <connection id="9" xr16:uid="{F7605A09-8F11-49C8-AC2E-44D91153DF40}" name="WorksheetConnection_211-16-560.xlsx!First_Semester_English_I" type="102" refreshedVersion="7" minRefreshableVersion="5">
    <extLst>
      <ext xmlns:x15="http://schemas.microsoft.com/office/spreadsheetml/2010/11/main" uri="{DE250136-89BD-433C-8126-D09CA5730AF9}">
        <x15:connection id="First_Semester_English_I">
          <x15:rangePr sourceName="_xlcn.WorksheetConnection_21116560.xlsxFirst_Semester_English_I1"/>
        </x15:connection>
      </ext>
    </extLst>
  </connection>
  <connection id="10" xr16:uid="{C82FBE3C-40DC-4E66-AAF1-3330F0C166F2}" name="WorksheetConnection_211-16-560.xlsx!First_Semester_Information_Systems_Engineering" type="102" refreshedVersion="7" minRefreshableVersion="5">
    <extLst>
      <ext xmlns:x15="http://schemas.microsoft.com/office/spreadsheetml/2010/11/main" uri="{DE250136-89BD-433C-8126-D09CA5730AF9}">
        <x15:connection id="First_Semester_Information_Systems_Engineering">
          <x15:rangePr sourceName="_xlcn.WorksheetConnection_21116560.xlsxFirst_Semester_Information_Systems_Engineering1"/>
        </x15:connection>
      </ext>
    </extLst>
  </connection>
  <connection id="11" xr16:uid="{61623ABB-7056-4177-879B-7317AF35E99F}" name="WorksheetConnection_211-16-560.xlsx!First_Semester_Mathematics" type="102" refreshedVersion="7" minRefreshableVersion="5">
    <extLst>
      <ext xmlns:x15="http://schemas.microsoft.com/office/spreadsheetml/2010/11/main" uri="{DE250136-89BD-433C-8126-D09CA5730AF9}">
        <x15:connection id="First_Semester_Mathematics">
          <x15:rangePr sourceName="_xlcn.WorksheetConnection_21116560.xlsxFirst_Semester_Mathematics1"/>
        </x15:connection>
      </ext>
    </extLst>
  </connection>
  <connection id="12" xr16:uid="{DA314BEF-891B-418E-A395-68F8CECCBA61}" name="WorksheetConnection_211-16-560.xlsx!Introduction" type="102" refreshedVersion="7" minRefreshableVersion="5">
    <extLst>
      <ext xmlns:x15="http://schemas.microsoft.com/office/spreadsheetml/2010/11/main" uri="{DE250136-89BD-433C-8126-D09CA5730AF9}">
        <x15:connection id="Introduction">
          <x15:rangePr sourceName="_xlcn.WorksheetConnection_21116560.xlsxIntroduction1"/>
        </x15:connection>
      </ext>
    </extLst>
  </connection>
  <connection id="13" xr16:uid="{DF60F4B5-600F-4AC6-BF08-E5851D23C822}" name="WorksheetConnection_211-16-560.xlsx!Second_Semester_English_II" type="102" refreshedVersion="7" minRefreshableVersion="5">
    <extLst>
      <ext xmlns:x15="http://schemas.microsoft.com/office/spreadsheetml/2010/11/main" uri="{DE250136-89BD-433C-8126-D09CA5730AF9}">
        <x15:connection id="Second_Semester_English_II">
          <x15:rangePr sourceName="_xlcn.WorksheetConnection_21116560.xlsxSecond_Semester_English_II1"/>
        </x15:connection>
      </ext>
    </extLst>
  </connection>
  <connection id="14" xr16:uid="{5B911B03-527A-4C5D-9ABE-74F33BDE12B5}" name="WorksheetConnection_211-16-560.xlsx!Second_Semester_Fundamental_Website_Development" type="102" refreshedVersion="7" minRefreshableVersion="5">
    <extLst>
      <ext xmlns:x15="http://schemas.microsoft.com/office/spreadsheetml/2010/11/main" uri="{DE250136-89BD-433C-8126-D09CA5730AF9}">
        <x15:connection id="Second_Semester_Fundamental_Website_Development">
          <x15:rangePr sourceName="_xlcn.WorksheetConnection_21116560.xlsxSecond_Semester_Fundamental_Website_Development1"/>
        </x15:connection>
      </ext>
    </extLst>
  </connection>
  <connection id="15" xr16:uid="{BF686D3B-8C8B-4501-BAA6-AD0550B64C6F}" name="WorksheetConnection_211-16-560.xlsx!Second_Semester_Fundamental_Website_Development_Lab" type="102" refreshedVersion="7" minRefreshableVersion="5">
    <extLst>
      <ext xmlns:x15="http://schemas.microsoft.com/office/spreadsheetml/2010/11/main" uri="{DE250136-89BD-433C-8126-D09CA5730AF9}">
        <x15:connection id="Second_Semester_Fundamental_Website_Development_Lab">
          <x15:rangePr sourceName="_xlcn.WorksheetConnection_21116560.xlsxSecond_Semester_Fundamental_Website_Development_Lab1"/>
        </x15:connection>
      </ext>
    </extLst>
  </connection>
  <connection id="16" xr16:uid="{D6F9D633-B62D-4624-ACEC-151AA66970E4}" name="WorksheetConnection_211-16-560.xlsx!Second_Semester_SGPA" type="102" refreshedVersion="7" minRefreshableVersion="5">
    <extLst>
      <ext xmlns:x15="http://schemas.microsoft.com/office/spreadsheetml/2010/11/main" uri="{DE250136-89BD-433C-8126-D09CA5730AF9}">
        <x15:connection id="Second_Semester_SGPA">
          <x15:rangePr sourceName="_xlcn.WorksheetConnection_21116560.xlsxSecond_Semester_SGPA1"/>
        </x15:connection>
      </ext>
    </extLst>
  </connection>
  <connection id="17" xr16:uid="{447877D1-0422-4FA4-93B9-6793D5AE6411}" name="WorksheetConnection_211-16-560.xlsx!Second_Semester_Structured_Programming" type="102" refreshedVersion="7" minRefreshableVersion="5">
    <extLst>
      <ext xmlns:x15="http://schemas.microsoft.com/office/spreadsheetml/2010/11/main" uri="{DE250136-89BD-433C-8126-D09CA5730AF9}">
        <x15:connection id="Second_Semester_Structured_Programming">
          <x15:rangePr sourceName="_xlcn.WorksheetConnection_21116560.xlsxSecond_Semester_Structured_Programming1"/>
        </x15:connection>
      </ext>
    </extLst>
  </connection>
  <connection id="18" xr16:uid="{0A245098-845F-40F9-A6F5-0ADD88C04847}" name="WorksheetConnection_211-16-560.xlsx!Second_Semester_Structured_Programming_Lab" type="102" refreshedVersion="7" minRefreshableVersion="5">
    <extLst>
      <ext xmlns:x15="http://schemas.microsoft.com/office/spreadsheetml/2010/11/main" uri="{DE250136-89BD-433C-8126-D09CA5730AF9}">
        <x15:connection id="Second_Semester_Structured_Programming_Lab">
          <x15:rangePr sourceName="_xlcn.WorksheetConnection_21116560.xlsxSecond_Semester_Structured_Programming_Lab1"/>
        </x15:connection>
      </ext>
    </extLst>
  </connection>
  <connection id="19" xr16:uid="{542C2BFD-B286-4162-BE44-420E77FB4284}" name="WorksheetConnection_211-16-560.xlsx!Student_Information" type="102" refreshedVersion="7" minRefreshableVersion="5">
    <extLst>
      <ext xmlns:x15="http://schemas.microsoft.com/office/spreadsheetml/2010/11/main" uri="{DE250136-89BD-433C-8126-D09CA5730AF9}">
        <x15:connection id="Student_Information">
          <x15:rangePr sourceName="_xlcn.WorksheetConnection_21116560.xlsxStudent_Information1"/>
        </x15:connection>
      </ext>
    </extLst>
  </connection>
  <connection id="20" xr16:uid="{BCBB97F4-8F24-4251-8A65-B26DA98B1F71}" name="WorksheetConnection_211-16-560.xlsx!Third_Semester_Computer_Network" type="102" refreshedVersion="7" minRefreshableVersion="5">
    <extLst>
      <ext xmlns:x15="http://schemas.microsoft.com/office/spreadsheetml/2010/11/main" uri="{DE250136-89BD-433C-8126-D09CA5730AF9}">
        <x15:connection id="Third_Semester_Computer_Network">
          <x15:rangePr sourceName="_xlcn.WorksheetConnection_21116560.xlsxThird_Semester_Computer_Network1"/>
        </x15:connection>
      </ext>
    </extLst>
  </connection>
  <connection id="21" xr16:uid="{17373C4E-9E7A-41FA-9D71-A3290AF1785C}" name="WorksheetConnection_211-16-560.xlsx!Third_Semester_Computer_Network_Lab" type="102" refreshedVersion="7" minRefreshableVersion="5">
    <extLst>
      <ext xmlns:x15="http://schemas.microsoft.com/office/spreadsheetml/2010/11/main" uri="{DE250136-89BD-433C-8126-D09CA5730AF9}">
        <x15:connection id="Third_Semester_Computer_Network_Lab">
          <x15:rangePr sourceName="_xlcn.WorksheetConnection_21116560.xlsxThird_Semester_Computer_Network_Lab1"/>
        </x15:connection>
      </ext>
    </extLst>
  </connection>
  <connection id="22" xr16:uid="{07C8F98A-366A-4785-BBB1-9EACAFA94E62}" name="WorksheetConnection_211-16-560.xlsx!Third_Semester_Data_Structure" type="102" refreshedVersion="7" minRefreshableVersion="5">
    <extLst>
      <ext xmlns:x15="http://schemas.microsoft.com/office/spreadsheetml/2010/11/main" uri="{DE250136-89BD-433C-8126-D09CA5730AF9}">
        <x15:connection id="Third_Semester_Data_Structure">
          <x15:rangePr sourceName="_xlcn.WorksheetConnection_21116560.xlsxThird_Semester_Data_Structure1"/>
        </x15:connection>
      </ext>
    </extLst>
  </connection>
  <connection id="23" xr16:uid="{3E6E900B-45E2-42B7-990A-0DC09D8D5815}" name="WorksheetConnection_211-16-560.xlsx!Third_Semester_Data_Structure_Lab" type="102" refreshedVersion="7" minRefreshableVersion="5">
    <extLst>
      <ext xmlns:x15="http://schemas.microsoft.com/office/spreadsheetml/2010/11/main" uri="{DE250136-89BD-433C-8126-D09CA5730AF9}">
        <x15:connection id="Third_Semester_Data_Structure_Lab">
          <x15:rangePr sourceName="_xlcn.WorksheetConnection_21116560.xlsxThird_Semester_Data_Structure_Lab1"/>
        </x15:connection>
      </ext>
    </extLst>
  </connection>
  <connection id="24" xr16:uid="{373FA39E-D1D5-4CDD-9D34-FC7CC9E207C2}" name="WorksheetConnection_211-16-560.xlsx!Third_Semester_Discrete_Mathematics" type="102" refreshedVersion="7" minRefreshableVersion="5">
    <extLst>
      <ext xmlns:x15="http://schemas.microsoft.com/office/spreadsheetml/2010/11/main" uri="{DE250136-89BD-433C-8126-D09CA5730AF9}">
        <x15:connection id="Third_Semester_Discrete_Mathematics">
          <x15:rangePr sourceName="_xlcn.WorksheetConnection_21116560.xlsxThird_Semester_Discrete_Mathematics1"/>
        </x15:connection>
      </ext>
    </extLst>
  </connection>
  <connection id="25" xr16:uid="{EE3FC030-86DF-4668-AD3F-050F10F5327B}" name="WorksheetConnection_211-16-560.xlsx!Third_Semester_SGPA" type="102" refreshedVersion="7" minRefreshableVersion="5">
    <extLst>
      <ext xmlns:x15="http://schemas.microsoft.com/office/spreadsheetml/2010/11/main" uri="{DE250136-89BD-433C-8126-D09CA5730AF9}">
        <x15:connection id="Third_Semester_SGPA">
          <x15:rangePr sourceName="_xlcn.WorksheetConnection_21116560.xlsxThird_Semester_SGPA1"/>
        </x15:connection>
      </ext>
    </extLst>
  </connection>
  <connection id="26" xr16:uid="{586A4DC5-A36F-45CB-BC7D-8B1DBF928AF3}" name="WorksheetConnection_211-16-560.xlsx!Third_Semester_Study_and_Communication_Skills" type="102" refreshedVersion="7" minRefreshableVersion="5">
    <extLst>
      <ext xmlns:x15="http://schemas.microsoft.com/office/spreadsheetml/2010/11/main" uri="{DE250136-89BD-433C-8126-D09CA5730AF9}">
        <x15:connection id="Third_Semester_Study_and_Communication_Skills">
          <x15:rangePr sourceName="_xlcn.WorksheetConnection_21116560.xlsxThird_Semester_Study_and_Communication_Skills1"/>
        </x15:connection>
      </ext>
    </extLst>
  </connection>
</connections>
</file>

<file path=xl/sharedStrings.xml><?xml version="1.0" encoding="utf-8"?>
<sst xmlns="http://schemas.openxmlformats.org/spreadsheetml/2006/main" count="2865" uniqueCount="435">
  <si>
    <t>Roll No</t>
  </si>
  <si>
    <t>211-16-552</t>
  </si>
  <si>
    <t>211-16-553</t>
  </si>
  <si>
    <t>211-16-554</t>
  </si>
  <si>
    <t>211-16-555</t>
  </si>
  <si>
    <t>211-16-556</t>
  </si>
  <si>
    <t>211-16-557</t>
  </si>
  <si>
    <t>211-16-558</t>
  </si>
  <si>
    <t>211-16-559</t>
  </si>
  <si>
    <t>211-16-560</t>
  </si>
  <si>
    <t>211-16-561</t>
  </si>
  <si>
    <t>211-16-562</t>
  </si>
  <si>
    <t>211-16-563</t>
  </si>
  <si>
    <t>211-16-564</t>
  </si>
  <si>
    <t>211-16-565</t>
  </si>
  <si>
    <t>211-16-566</t>
  </si>
  <si>
    <t>211-16-567</t>
  </si>
  <si>
    <t>211-16-568</t>
  </si>
  <si>
    <t>211-16-569</t>
  </si>
  <si>
    <t>211-16-570</t>
  </si>
  <si>
    <t>Name of Student</t>
  </si>
  <si>
    <t>Name of Employee</t>
  </si>
  <si>
    <t>Employee ID</t>
  </si>
  <si>
    <t>212-16-571</t>
  </si>
  <si>
    <t>212-16-572</t>
  </si>
  <si>
    <t>212-16-573</t>
  </si>
  <si>
    <t>212-16-574</t>
  </si>
  <si>
    <t>Maiesa Haque Lira</t>
  </si>
  <si>
    <t>Mashrur Mahadi</t>
  </si>
  <si>
    <t>Md. Muhai Min Al Shihab</t>
  </si>
  <si>
    <t>Md. Ruhul Kuddus</t>
  </si>
  <si>
    <t>Dropout</t>
  </si>
  <si>
    <t>S. A. Farhan Sourov</t>
  </si>
  <si>
    <t>Md. Mahmudul Hasan Emon</t>
  </si>
  <si>
    <t>Ismet Zahan Sithi</t>
  </si>
  <si>
    <t>S. M. Nesar Haider</t>
  </si>
  <si>
    <t>Md. Zubayer Alam</t>
  </si>
  <si>
    <t>Francis Rudra D. Cruze</t>
  </si>
  <si>
    <t>Iffat - Ul - Islam</t>
  </si>
  <si>
    <t>Shinthya Hasan Orthy</t>
  </si>
  <si>
    <t>Mir Rumana Zebin Alam</t>
  </si>
  <si>
    <t>Mashfikur Rahman Patwary</t>
  </si>
  <si>
    <t>Sanaullah Efte Sani</t>
  </si>
  <si>
    <t>Rajib Das</t>
  </si>
  <si>
    <t>Ram Prosad Kumar Mohanto</t>
  </si>
  <si>
    <t>Rakibur Rahman</t>
  </si>
  <si>
    <t>Mainul Islam Tamim</t>
  </si>
  <si>
    <t>Sumaya Binte Rashid</t>
  </si>
  <si>
    <t>Department</t>
  </si>
  <si>
    <t>Faculty</t>
  </si>
  <si>
    <t>211-30-033</t>
  </si>
  <si>
    <t>Ayesha Zaman Oni</t>
  </si>
  <si>
    <t>ESDM</t>
  </si>
  <si>
    <t>211-40-742</t>
  </si>
  <si>
    <t>Tonima Parvin Anika</t>
  </si>
  <si>
    <t>MCT</t>
  </si>
  <si>
    <t>211-52-021</t>
  </si>
  <si>
    <t>203-52-018</t>
  </si>
  <si>
    <t>Jahidul Islam</t>
  </si>
  <si>
    <t>Mahjabin Sultana</t>
  </si>
  <si>
    <t>211-40-743</t>
  </si>
  <si>
    <t>Md. Imran Hosen</t>
  </si>
  <si>
    <t>BBS</t>
  </si>
  <si>
    <t>CIS</t>
  </si>
  <si>
    <t>Science and Information Technology</t>
  </si>
  <si>
    <t>Business &amp; Entrepreneurship</t>
  </si>
  <si>
    <t>Contact Number</t>
  </si>
  <si>
    <t>Email Address</t>
  </si>
  <si>
    <t>+880 1732-640086</t>
  </si>
  <si>
    <t>+880 1818-420255</t>
  </si>
  <si>
    <t>+880 1738-250672</t>
  </si>
  <si>
    <t>+880 1792-433883</t>
  </si>
  <si>
    <t>+880 1630-891993</t>
  </si>
  <si>
    <t>+880 1712-645179</t>
  </si>
  <si>
    <t>+880 1633-035366</t>
  </si>
  <si>
    <t>+880 1612-003611</t>
  </si>
  <si>
    <t>+880 1870-179066</t>
  </si>
  <si>
    <t>+880 1676-654332</t>
  </si>
  <si>
    <t>+880 1996-582130</t>
  </si>
  <si>
    <t>+880 1741-045362</t>
  </si>
  <si>
    <t>+880 1790-788113</t>
  </si>
  <si>
    <t>+880 1639-507665</t>
  </si>
  <si>
    <t>+880 1990-651002</t>
  </si>
  <si>
    <t>+880 1715-113866</t>
  </si>
  <si>
    <t>+880 1756-353623</t>
  </si>
  <si>
    <t>jahidul52-018@diu.edu.bd </t>
  </si>
  <si>
    <t>+880 1681-581852</t>
  </si>
  <si>
    <t>mahjabin52-021@diu.edu.bd</t>
  </si>
  <si>
    <t>lira16-552@diu.edu.bd</t>
  </si>
  <si>
    <t>mahadi16-553@diu.edu.bd</t>
  </si>
  <si>
    <t>shihab16-554@diu.edu.bd</t>
  </si>
  <si>
    <t>ruhul16-555@diu.edu.bd</t>
  </si>
  <si>
    <t>sourov16-557@diu.edu.bd</t>
  </si>
  <si>
    <t>mahmudul16-558@diu.edu.bd</t>
  </si>
  <si>
    <t>sithi16-559@diu.edu.bd</t>
  </si>
  <si>
    <t>haider16-560@diu.edu.bd</t>
  </si>
  <si>
    <t>alam16-561@diu.edu.bd</t>
  </si>
  <si>
    <t>rudra16-563@diu.edu.bd</t>
  </si>
  <si>
    <t>iffat16-564@diu.edu.bd</t>
  </si>
  <si>
    <t>orthy16-565@diu.edu.bd</t>
  </si>
  <si>
    <t>alam16-566@diu.edu.bd</t>
  </si>
  <si>
    <t>patwary16-568@diu.edu.bd</t>
  </si>
  <si>
    <t>sani16-569@diu.edu.bd</t>
  </si>
  <si>
    <t>rajib16-570@diu.edu.bd</t>
  </si>
  <si>
    <t>rakibur16-572@diu.edu.bd</t>
  </si>
  <si>
    <t>mainul16-573@diu.edu.bd</t>
  </si>
  <si>
    <t>sumaya16-574@diu.edu.bd</t>
  </si>
  <si>
    <t>imran40-743@diu.edu.bd</t>
  </si>
  <si>
    <t>Date of Birth</t>
  </si>
  <si>
    <t>28-Jun</t>
  </si>
  <si>
    <t>11-Oct</t>
  </si>
  <si>
    <t>19-Oct</t>
  </si>
  <si>
    <t>2-Apr</t>
  </si>
  <si>
    <t>Aug</t>
  </si>
  <si>
    <t>16-Oct</t>
  </si>
  <si>
    <t>Bank</t>
  </si>
  <si>
    <t>Sonali Bank Limited</t>
  </si>
  <si>
    <t>Accounting</t>
  </si>
  <si>
    <t>House Rent</t>
  </si>
  <si>
    <t>Health Assurance</t>
  </si>
  <si>
    <t>Special Allowance</t>
  </si>
  <si>
    <t>Provident Fund</t>
  </si>
  <si>
    <t>Income Tax</t>
  </si>
  <si>
    <t>Break</t>
  </si>
  <si>
    <t>House Rent (%)</t>
  </si>
  <si>
    <t>Special Allowance (%)</t>
  </si>
  <si>
    <t>Health Assurance (%)</t>
  </si>
  <si>
    <t>Provident Fund (%)</t>
  </si>
  <si>
    <t>Income Tax (%)</t>
  </si>
  <si>
    <t>Professional Tax</t>
  </si>
  <si>
    <t>Professional Tax (%)</t>
  </si>
  <si>
    <t>Net Salary</t>
  </si>
  <si>
    <t>Quiz 1</t>
  </si>
  <si>
    <t>Quiz 2</t>
  </si>
  <si>
    <t>Quiz 3</t>
  </si>
  <si>
    <t>Quiz Average</t>
  </si>
  <si>
    <t>Round of Average</t>
  </si>
  <si>
    <t>Assignment</t>
  </si>
  <si>
    <t>Presentation</t>
  </si>
  <si>
    <t>Attendance</t>
  </si>
  <si>
    <t>Total out of APA</t>
  </si>
  <si>
    <t>Round of APA</t>
  </si>
  <si>
    <t>Total Exam Number</t>
  </si>
  <si>
    <t>Midterm</t>
  </si>
  <si>
    <t>Final</t>
  </si>
  <si>
    <t>Mid &amp; Final</t>
  </si>
  <si>
    <t>Round of M &amp; F</t>
  </si>
  <si>
    <t>Total</t>
  </si>
  <si>
    <t>Grade Scale</t>
  </si>
  <si>
    <t>Grade Point</t>
  </si>
  <si>
    <t>Remarks</t>
  </si>
  <si>
    <t>From A+ to F</t>
  </si>
  <si>
    <t>0 to 4.00</t>
  </si>
  <si>
    <t>Fail to Outstanding</t>
  </si>
  <si>
    <t>Mathematics - I</t>
  </si>
  <si>
    <t>English Language - I</t>
  </si>
  <si>
    <t>Computer Fundamentals</t>
  </si>
  <si>
    <t>Information Systems Engineering</t>
  </si>
  <si>
    <t>Mathematics - I Credit</t>
  </si>
  <si>
    <t>English Language - I Credit</t>
  </si>
  <si>
    <t>Computer Fundamentals Credit</t>
  </si>
  <si>
    <t>Information Systems Engineering Credit</t>
  </si>
  <si>
    <t>Total Subject Credit</t>
  </si>
  <si>
    <t>Total Student: 28</t>
  </si>
  <si>
    <t>Active Student: 25</t>
  </si>
  <si>
    <t>Highest Mark</t>
  </si>
  <si>
    <t>Lowest Mark</t>
  </si>
  <si>
    <t>Date:</t>
  </si>
  <si>
    <t>Time:</t>
  </si>
  <si>
    <t>Ass &amp; Final</t>
  </si>
  <si>
    <t>Round of A &amp; F</t>
  </si>
  <si>
    <t>Easy To Asscess</t>
  </si>
  <si>
    <t>Student ID: 211-16-560</t>
  </si>
  <si>
    <t>OSD Excel Assignment</t>
  </si>
  <si>
    <t>Excel file extensions: .xlsx</t>
  </si>
  <si>
    <t>Microsoft Excel is a Spreadsheet Software &amp; Application. Its developed by Microsoft Corporation for Windows, macOS, Android and iOS. Its a Part of Microsoft Office Suite 365 of Productivity Software. Its features Calculation (Mathematics, Accounting etc.) or Computation Capabilities, Graphing Tools (Pie, Chart, Flow etc.), Pivot Tables, Data Analysis and a Macro Programming Language called Visual Basic for Applications (VBA).</t>
  </si>
  <si>
    <t>Course Title: Office Solutions Development</t>
  </si>
  <si>
    <t>Submitted to:</t>
  </si>
  <si>
    <t>Submitted by:</t>
  </si>
  <si>
    <t>S.M. Nesar Haider</t>
  </si>
  <si>
    <t xml:space="preserve">
Md. Mehedi Hasan</t>
  </si>
  <si>
    <t>Lecturer</t>
  </si>
  <si>
    <t>Department of Computing and Information System</t>
  </si>
  <si>
    <t>Daffodil International University</t>
  </si>
  <si>
    <t>Date: March 31, 2022</t>
  </si>
  <si>
    <t>Indroduction</t>
  </si>
  <si>
    <t>Basic Skills (Shortcuts)</t>
  </si>
  <si>
    <t>General</t>
  </si>
  <si>
    <t xml:space="preserve">General </t>
  </si>
  <si>
    <t xml:space="preserve">Ctrl + O </t>
  </si>
  <si>
    <t xml:space="preserve">Ctrl + N </t>
  </si>
  <si>
    <t xml:space="preserve">Ctrl + S </t>
  </si>
  <si>
    <t>Open a workbook</t>
  </si>
  <si>
    <t>Create a new workbook</t>
  </si>
  <si>
    <t>Save a workbook</t>
  </si>
  <si>
    <t xml:space="preserve">Ctrl + P </t>
  </si>
  <si>
    <t xml:space="preserve">Ctrl + W </t>
  </si>
  <si>
    <t>Help</t>
  </si>
  <si>
    <t>Close a workbook</t>
  </si>
  <si>
    <t>Print a workbook</t>
  </si>
  <si>
    <t xml:space="preserve">Alt + Q </t>
  </si>
  <si>
    <t xml:space="preserve">F7 </t>
  </si>
  <si>
    <t>Spell check</t>
  </si>
  <si>
    <t>Activate Tell Me field</t>
  </si>
  <si>
    <t xml:space="preserve">F9 </t>
  </si>
  <si>
    <t xml:space="preserve">F1 </t>
  </si>
  <si>
    <t>Calculate worksheets</t>
  </si>
  <si>
    <t xml:space="preserve">F4 </t>
  </si>
  <si>
    <t xml:space="preserve">Navigation </t>
  </si>
  <si>
    <t>Create absolute reference ($)</t>
  </si>
  <si>
    <t>Right one cell</t>
  </si>
  <si>
    <t xml:space="preserve">Tab </t>
  </si>
  <si>
    <t xml:space="preserve">Shift + Tab </t>
  </si>
  <si>
    <t xml:space="preserve">Enter </t>
  </si>
  <si>
    <t xml:space="preserve">Page Down </t>
  </si>
  <si>
    <t xml:space="preserve">Shift + Enter </t>
  </si>
  <si>
    <t>Left one cell</t>
  </si>
  <si>
    <t>Down one cell</t>
  </si>
  <si>
    <t>Up one cell</t>
  </si>
  <si>
    <t>Down one screen</t>
  </si>
  <si>
    <t xml:space="preserve">Home </t>
  </si>
  <si>
    <t xml:space="preserve">End </t>
  </si>
  <si>
    <t>To first cell of active row</t>
  </si>
  <si>
    <t>Enable End mode</t>
  </si>
  <si>
    <t xml:space="preserve">Ctrl + Home </t>
  </si>
  <si>
    <t>To cell A1</t>
  </si>
  <si>
    <t xml:space="preserve">Ctrl + End </t>
  </si>
  <si>
    <t>To last cell</t>
  </si>
  <si>
    <t>Editing</t>
  </si>
  <si>
    <t>shift+ctrl+;</t>
  </si>
  <si>
    <t>Insert Current Time</t>
  </si>
  <si>
    <t>ctrl+;</t>
  </si>
  <si>
    <t>Insert Current Date</t>
  </si>
  <si>
    <t>shift+F2</t>
  </si>
  <si>
    <t>Edit cell comment</t>
  </si>
  <si>
    <t>shift+ctrl+`</t>
  </si>
  <si>
    <t>General format</t>
  </si>
  <si>
    <t>shift+ctrl+1</t>
  </si>
  <si>
    <t>Format cell to two decimal places</t>
  </si>
  <si>
    <t>shift+ctrl+2</t>
  </si>
  <si>
    <t>Format cell to time</t>
  </si>
  <si>
    <t>shift+ctrl+3</t>
  </si>
  <si>
    <t>Format cell to date</t>
  </si>
  <si>
    <t>shift+ctrl+4</t>
  </si>
  <si>
    <t>Format cell to currency</t>
  </si>
  <si>
    <t>shift+ctrl+5</t>
  </si>
  <si>
    <t>Format cell to percentage</t>
  </si>
  <si>
    <t>shift+ctrl+6</t>
  </si>
  <si>
    <t>Format cell to scientific notation</t>
  </si>
  <si>
    <t>shift+ctrl+7</t>
  </si>
  <si>
    <t>Draws outline around your selection</t>
  </si>
  <si>
    <t xml:space="preserve">Ctrl + X </t>
  </si>
  <si>
    <t xml:space="preserve">Ctrl + C </t>
  </si>
  <si>
    <t xml:space="preserve">Ctrl + V </t>
  </si>
  <si>
    <t>Paste</t>
  </si>
  <si>
    <t xml:space="preserve">Ctrl + Z </t>
  </si>
  <si>
    <t>Undo</t>
  </si>
  <si>
    <t>Cut</t>
  </si>
  <si>
    <t>Copy</t>
  </si>
  <si>
    <t xml:space="preserve">Ctrl + Y </t>
  </si>
  <si>
    <t>Redo</t>
  </si>
  <si>
    <t xml:space="preserve">Ctrl + F </t>
  </si>
  <si>
    <t>Find</t>
  </si>
  <si>
    <t xml:space="preserve">Ctrl + H </t>
  </si>
  <si>
    <t>Replace</t>
  </si>
  <si>
    <t xml:space="preserve">F2 </t>
  </si>
  <si>
    <t>Edit active cell</t>
  </si>
  <si>
    <t xml:space="preserve">Delete </t>
  </si>
  <si>
    <t>Clear cell contents</t>
  </si>
  <si>
    <t>Formating</t>
  </si>
  <si>
    <t xml:space="preserve">Ctrl + B </t>
  </si>
  <si>
    <t xml:space="preserve">Ctrl + I </t>
  </si>
  <si>
    <t xml:space="preserve">Ctrl + U </t>
  </si>
  <si>
    <t xml:space="preserve">Open Format Cells  </t>
  </si>
  <si>
    <t xml:space="preserve">Ctrl + Shift </t>
  </si>
  <si>
    <t>Underline</t>
  </si>
  <si>
    <t>Italics</t>
  </si>
  <si>
    <t>Bold</t>
  </si>
  <si>
    <t xml:space="preserve">Ctrl + 0 </t>
  </si>
  <si>
    <t xml:space="preserve">Ctrl + 9 </t>
  </si>
  <si>
    <t>Hide selected columns</t>
  </si>
  <si>
    <t>Hide selected rows</t>
  </si>
  <si>
    <t xml:space="preserve">Ctrl + A </t>
  </si>
  <si>
    <t>Select All</t>
  </si>
  <si>
    <t xml:space="preserve">Ctrl + Space </t>
  </si>
  <si>
    <t>Select entire column</t>
  </si>
  <si>
    <t xml:space="preserve">Shift + Space </t>
  </si>
  <si>
    <t>Select entire row</t>
  </si>
  <si>
    <t>Describe Formula</t>
  </si>
  <si>
    <t>Excel Function</t>
  </si>
  <si>
    <t>Description</t>
  </si>
  <si>
    <t>Sum</t>
  </si>
  <si>
    <t>Average</t>
  </si>
  <si>
    <t>Count</t>
  </si>
  <si>
    <t>Product</t>
  </si>
  <si>
    <t>Max</t>
  </si>
  <si>
    <t>Min</t>
  </si>
  <si>
    <t>Countif</t>
  </si>
  <si>
    <t>Sumif</t>
  </si>
  <si>
    <t>Round</t>
  </si>
  <si>
    <t>Upper</t>
  </si>
  <si>
    <t>Lower</t>
  </si>
  <si>
    <t>Large</t>
  </si>
  <si>
    <t>Small</t>
  </si>
  <si>
    <t>#N/A!</t>
  </si>
  <si>
    <t>A formula or a function inside a formula cannot find the referenced data</t>
  </si>
  <si>
    <t>Text in the formula is not recognized</t>
  </si>
  <si>
    <t>The wrong type of operand or function argument is used</t>
  </si>
  <si>
    <t>A space was used in formulas that reference multiple ranges</t>
  </si>
  <si>
    <t>Highest Value Show</t>
  </si>
  <si>
    <t>Lowest Value Show</t>
  </si>
  <si>
    <t>Round Number Show</t>
  </si>
  <si>
    <t>Calculate the Maximum Number</t>
  </si>
  <si>
    <t>Counts the number of cells</t>
  </si>
  <si>
    <t>IF</t>
  </si>
  <si>
    <t>Tests for a true or false condition and then returns the value</t>
  </si>
  <si>
    <t>Calculates the sum of a group of values (+)</t>
  </si>
  <si>
    <t>Calculates the product of a group of values (*)</t>
  </si>
  <si>
    <t>Calculates the mean of a group of values Average</t>
  </si>
  <si>
    <t>Calculates a sum from a group of values, but just of values that are included because a condition is met</t>
  </si>
  <si>
    <t>Counts the number of cells in a range that match a criteria</t>
  </si>
  <si>
    <t>Converts a text string to all lowercase</t>
  </si>
  <si>
    <t>Converts a text string to all uppercase</t>
  </si>
  <si>
    <t>Complete relative reference</t>
  </si>
  <si>
    <t>The column is absolute; the row is relative</t>
  </si>
  <si>
    <t>The column is relative; the row is absolute</t>
  </si>
  <si>
    <t>Complete absolute reference</t>
  </si>
  <si>
    <t>=A1</t>
  </si>
  <si>
    <t>=$A1</t>
  </si>
  <si>
    <t>=A$1</t>
  </si>
  <si>
    <t>=$A$1</t>
  </si>
  <si>
    <t>Statistics-I</t>
  </si>
  <si>
    <t>Financial Management System</t>
  </si>
  <si>
    <t>English-II</t>
  </si>
  <si>
    <t>Structured Programming</t>
  </si>
  <si>
    <t>English-I</t>
  </si>
  <si>
    <t>Mathematics-I</t>
  </si>
  <si>
    <t>Fundamental Website Development</t>
  </si>
  <si>
    <t>Fundamental Website Development Lab</t>
  </si>
  <si>
    <t>Structured Programming Lab</t>
  </si>
  <si>
    <t>Lab Perfomance</t>
  </si>
  <si>
    <t>English Language - II</t>
  </si>
  <si>
    <t>Structured Programming Credit</t>
  </si>
  <si>
    <t>Fundamental Website Development Credit</t>
  </si>
  <si>
    <t>Structured Programming Lab Credit</t>
  </si>
  <si>
    <t>Fundamental Website Development Lab Credit</t>
  </si>
  <si>
    <t>Study and Communication Skills</t>
  </si>
  <si>
    <t>Data Structure</t>
  </si>
  <si>
    <t>Computer Network</t>
  </si>
  <si>
    <t>Data Structure Lab</t>
  </si>
  <si>
    <t>Computer Network Lab</t>
  </si>
  <si>
    <t>Study and Communication Skills Credit</t>
  </si>
  <si>
    <t>Data Structure Credit</t>
  </si>
  <si>
    <t>Computer Network Credit</t>
  </si>
  <si>
    <t>Data Structure Lab Credit</t>
  </si>
  <si>
    <t>Computer Network Lab Credit</t>
  </si>
  <si>
    <t>Accounting Credit</t>
  </si>
  <si>
    <t>Office Solution Development</t>
  </si>
  <si>
    <t>Algorithm</t>
  </si>
  <si>
    <t>Algorithm Lab</t>
  </si>
  <si>
    <t>Column1</t>
  </si>
  <si>
    <t>s</t>
  </si>
  <si>
    <t>Course Code: CIS132</t>
  </si>
  <si>
    <t>Knowledge</t>
  </si>
  <si>
    <t>Title</t>
  </si>
  <si>
    <t>Director</t>
  </si>
  <si>
    <t>Internal Auditor</t>
  </si>
  <si>
    <t>Asset Manager</t>
  </si>
  <si>
    <t>Financial Analyst</t>
  </si>
  <si>
    <t>Financial Advisor</t>
  </si>
  <si>
    <t>Investment Banker</t>
  </si>
  <si>
    <t>Employee Basic Salary</t>
  </si>
  <si>
    <t>Gross Salary</t>
  </si>
  <si>
    <t>English Language - I (Total Grade + Credit)</t>
  </si>
  <si>
    <t>Mathematics - I (Total Grade + Credit)</t>
  </si>
  <si>
    <t>Computer Fundamentals (Total Grade + Credit)</t>
  </si>
  <si>
    <t>Information Systems Engineering (Total Grade + Credit)</t>
  </si>
  <si>
    <t>English Language - II (Total Grade + Credit)</t>
  </si>
  <si>
    <t>Structured Programming (Total Grade + Credit)</t>
  </si>
  <si>
    <t>1st Semester SGPA</t>
  </si>
  <si>
    <t>English Language - II Credit</t>
  </si>
  <si>
    <t>Fundamental Website Development (Total Grade + Credit)</t>
  </si>
  <si>
    <t>Structured Programming Lab (Total Grade + Credit)</t>
  </si>
  <si>
    <t>1st Semester (SGPA)</t>
  </si>
  <si>
    <t>Fundamental Website Development Lab (Total Grade + Credit)</t>
  </si>
  <si>
    <t>2nd Semester (SGPA)</t>
  </si>
  <si>
    <t>2nd Semester SGPA</t>
  </si>
  <si>
    <t>Study and Communication Skills (Total Grade + Credit)</t>
  </si>
  <si>
    <t>Data Structure (Total Grade + Credit)</t>
  </si>
  <si>
    <t>Computer Network (Total Grade + Credit)</t>
  </si>
  <si>
    <t>Data Structure Lab (Total Grade + Credit)</t>
  </si>
  <si>
    <t>Computer Network Lab (Total Grade + Credit)</t>
  </si>
  <si>
    <t>3rd Semester (SGPA)</t>
  </si>
  <si>
    <t>3rd Semester SGPA</t>
  </si>
  <si>
    <t>Employee Basic Salary Randomly Choose</t>
  </si>
  <si>
    <t>Employee Basic Salary + House Rent + Special Allowance + Health Assurance = Gross Salary</t>
  </si>
  <si>
    <t>Gross Salary - (Provident Fund + Income Tax + Professional Tax) = Net Salary</t>
  </si>
  <si>
    <t>Office Solution Development Credit</t>
  </si>
  <si>
    <t xml:space="preserve">Discrete Mathematics	</t>
  </si>
  <si>
    <t>Discrete Mathematics</t>
  </si>
  <si>
    <t>Discrete Mathematics Credit</t>
  </si>
  <si>
    <t>Discrete Mathematics (Total Grade + Credit)</t>
  </si>
  <si>
    <t>4th Semester (SGPA)</t>
  </si>
  <si>
    <t>Accounting (Total Grade + Credit)</t>
  </si>
  <si>
    <t>Office Solution Development (Total Grade + Credit)</t>
  </si>
  <si>
    <t>Algorithm Credit</t>
  </si>
  <si>
    <t>Algorithm (Total Grade + Credit)</t>
  </si>
  <si>
    <t>Algorithm Lab Credit</t>
  </si>
  <si>
    <t>Algorithm Lab (Total Grade + Credit)</t>
  </si>
  <si>
    <t>4th Semester SGPA</t>
  </si>
  <si>
    <t>5th Semester SGPA</t>
  </si>
  <si>
    <t>1st Semester Credit</t>
  </si>
  <si>
    <t>2nd Semester Credit</t>
  </si>
  <si>
    <t>3rd Semester Credit</t>
  </si>
  <si>
    <t>4th Semester Credit</t>
  </si>
  <si>
    <t>5th Semester Credit</t>
  </si>
  <si>
    <t>1st Semester CGPA</t>
  </si>
  <si>
    <t>2nd Semester CGPA</t>
  </si>
  <si>
    <t>3rd Semester CGPA</t>
  </si>
  <si>
    <t>4th Semester CGPA</t>
  </si>
  <si>
    <t>5th Semester CGPA</t>
  </si>
  <si>
    <t>Database Management System</t>
  </si>
  <si>
    <t>Statistics-I Credit</t>
  </si>
  <si>
    <t>Statistics-I (Total Grade + Credit)</t>
  </si>
  <si>
    <t>Financial Management System Credit</t>
  </si>
  <si>
    <t>Financial Management System (Total Grade + Credit)</t>
  </si>
  <si>
    <t>Database Management System Credit</t>
  </si>
  <si>
    <t>Database Management System (Total Grade + Credit)</t>
  </si>
  <si>
    <t>5th Semester (SGPA)</t>
  </si>
  <si>
    <t>Total Subject (Total Grade + Credit)</t>
  </si>
  <si>
    <t>1st Semester (Total Grade + Credit)</t>
  </si>
  <si>
    <t>2nd Semester (Total Grade + Credit)</t>
  </si>
  <si>
    <t>3rd Semester (Total Grade + Credit)</t>
  </si>
  <si>
    <t>4th Semester (Total Grade + Credit)</t>
  </si>
  <si>
    <t>5th Semester (Total Grade + Credit)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</si>
</sst>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quot;$&quot;#,##0.00"/>
    <numFmt numFmtId="165" formatCode="0.0%"/>
  </numFmts>
  <fonts count="59" x14ac:knownFonts="1">
    <font>
      <sz val="11"/>
      <color theme="1"/>
      <name val="Calibri"/>
      <family val="2"/>
      <scheme val="minor"/>
    </font>
    <font>
      <sz val="8"/>
      <name val="Calibri"/>
      <family val="2"/>
      <scheme val="minor"/>
    </font>
    <font>
      <b/>
      <sz val="11"/>
      <color theme="1"/>
      <name val="Calibri"/>
      <family val="2"/>
      <scheme val="minor"/>
    </font>
    <font>
      <sz val="11"/>
      <name val="Calibri"/>
      <family val="2"/>
      <scheme val="minor"/>
    </font>
    <font>
      <sz val="25"/>
      <color theme="1"/>
      <name val="Calibri"/>
      <family val="2"/>
      <scheme val="minor"/>
    </font>
    <font>
      <b/>
      <sz val="45"/>
      <color theme="1"/>
      <name val="Calibri"/>
      <family val="2"/>
      <scheme val="minor"/>
    </font>
    <font>
      <sz val="11"/>
      <color theme="1"/>
      <name val="Calibri"/>
      <family val="2"/>
      <scheme val="minor"/>
    </font>
    <font>
      <b/>
      <sz val="15"/>
      <color theme="3"/>
      <name val="Calibri"/>
      <family val="2"/>
      <scheme val="minor"/>
    </font>
    <font>
      <sz val="11"/>
      <color rgb="FF006100"/>
      <name val="Calibri"/>
      <family val="2"/>
      <scheme val="minor"/>
    </font>
    <font>
      <b/>
      <sz val="11"/>
      <color rgb="FF3F3F3F"/>
      <name val="Calibri"/>
      <family val="2"/>
      <scheme val="minor"/>
    </font>
    <font>
      <b/>
      <sz val="11"/>
      <color rgb="FFFA7D00"/>
      <name val="Calibri"/>
      <family val="2"/>
      <scheme val="minor"/>
    </font>
    <font>
      <sz val="11"/>
      <color rgb="FF0B744D"/>
      <name val="Calibri"/>
      <family val="2"/>
      <scheme val="minor"/>
    </font>
    <font>
      <b/>
      <sz val="11"/>
      <name val="Calibri"/>
      <family val="2"/>
      <scheme val="minor"/>
    </font>
    <font>
      <b/>
      <sz val="12"/>
      <name val="Calibri"/>
      <family val="2"/>
      <scheme val="minor"/>
    </font>
    <font>
      <b/>
      <sz val="15"/>
      <name val="Calibri"/>
      <family val="2"/>
      <scheme val="minor"/>
    </font>
    <font>
      <b/>
      <sz val="18"/>
      <color theme="1"/>
      <name val="Calibri"/>
      <family val="2"/>
      <scheme val="minor"/>
    </font>
    <font>
      <b/>
      <sz val="18"/>
      <name val="Calibri"/>
      <family val="2"/>
      <scheme val="minor"/>
    </font>
    <font>
      <b/>
      <sz val="10"/>
      <color theme="1"/>
      <name val="Calibri"/>
      <family val="2"/>
      <scheme val="minor"/>
    </font>
    <font>
      <b/>
      <sz val="14"/>
      <color rgb="FF006100"/>
      <name val="Calibri"/>
      <family val="2"/>
      <scheme val="minor"/>
    </font>
    <font>
      <sz val="8"/>
      <color rgb="FF000000"/>
      <name val="Arial Nova"/>
      <family val="2"/>
    </font>
    <font>
      <b/>
      <sz val="8"/>
      <color rgb="FF000000"/>
      <name val="Arial Nova"/>
      <family val="2"/>
    </font>
    <font>
      <sz val="10"/>
      <color rgb="FFFFFFFF"/>
      <name val="Arial Nova"/>
      <family val="2"/>
    </font>
    <font>
      <sz val="10"/>
      <color theme="1"/>
      <name val="Calibri"/>
      <family val="2"/>
      <scheme val="minor"/>
    </font>
    <font>
      <sz val="10"/>
      <color rgb="FF000000"/>
      <name val="Arial Nova"/>
      <family val="2"/>
    </font>
    <font>
      <sz val="10"/>
      <color rgb="FF000000"/>
      <name val="Calibri"/>
      <family val="2"/>
      <scheme val="minor"/>
    </font>
    <font>
      <b/>
      <sz val="12"/>
      <color theme="0"/>
      <name val="Calibri"/>
      <family val="2"/>
      <scheme val="minor"/>
    </font>
    <font>
      <b/>
      <sz val="8"/>
      <color rgb="FF000000"/>
      <name val="Calibri"/>
      <family val="2"/>
      <scheme val="minor"/>
    </font>
    <font>
      <sz val="12"/>
      <color rgb="FF333333"/>
      <name val="Arial"/>
      <family val="2"/>
    </font>
    <font>
      <sz val="11"/>
      <color rgb="FF9C0006"/>
      <name val="Calibri"/>
      <family val="2"/>
      <scheme val="minor"/>
    </font>
    <font>
      <sz val="10"/>
      <name val="Calibri"/>
      <family val="2"/>
      <scheme val="minor"/>
    </font>
    <font>
      <sz val="9"/>
      <name val="Calibri"/>
      <family val="2"/>
      <scheme val="minor"/>
    </font>
    <font>
      <b/>
      <sz val="11"/>
      <color theme="0"/>
      <name val="Calibri"/>
      <family val="2"/>
      <scheme val="minor"/>
    </font>
    <font>
      <sz val="11"/>
      <color rgb="FFFF0000"/>
      <name val="Calibri"/>
      <family val="2"/>
      <scheme val="minor"/>
    </font>
    <font>
      <sz val="11"/>
      <color theme="0"/>
      <name val="Calibri"/>
      <family val="2"/>
      <scheme val="minor"/>
    </font>
    <font>
      <sz val="65"/>
      <color rgb="FF006100"/>
      <name val="Calibri"/>
      <family val="2"/>
      <scheme val="minor"/>
    </font>
    <font>
      <sz val="16"/>
      <color rgb="FFFF0000"/>
      <name val="Calibri"/>
      <family val="2"/>
      <scheme val="minor"/>
    </font>
    <font>
      <sz val="10"/>
      <color rgb="FFFF0000"/>
      <name val="Arial Nova"/>
      <family val="2"/>
    </font>
    <font>
      <b/>
      <sz val="20"/>
      <color rgb="FFFF0000"/>
      <name val="Calibri"/>
      <family val="2"/>
      <scheme val="minor"/>
    </font>
    <font>
      <b/>
      <sz val="15"/>
      <color rgb="FFFF0000"/>
      <name val="Calibri"/>
      <family val="2"/>
      <scheme val="minor"/>
    </font>
    <font>
      <b/>
      <sz val="12"/>
      <color rgb="FFFF0000"/>
      <name val="Calibri"/>
      <family val="2"/>
      <scheme val="minor"/>
    </font>
    <font>
      <b/>
      <sz val="18"/>
      <color rgb="FFFF0000"/>
      <name val="Calibri"/>
      <family val="2"/>
      <scheme val="minor"/>
    </font>
    <font>
      <sz val="12"/>
      <color rgb="FFFF0000"/>
      <name val="Arial"/>
      <family val="2"/>
    </font>
    <font>
      <b/>
      <sz val="11"/>
      <color rgb="FFFF0000"/>
      <name val="Calibri"/>
      <family val="2"/>
      <scheme val="minor"/>
    </font>
    <font>
      <b/>
      <sz val="15"/>
      <color theme="0"/>
      <name val="Calibri"/>
      <family val="2"/>
      <scheme val="minor"/>
    </font>
    <font>
      <b/>
      <sz val="18"/>
      <color theme="0"/>
      <name val="Calibri"/>
      <family val="2"/>
      <scheme val="minor"/>
    </font>
    <font>
      <b/>
      <sz val="15"/>
      <color theme="7" tint="0.39997558519241921"/>
      <name val="Calibri"/>
      <family val="2"/>
      <scheme val="minor"/>
    </font>
    <font>
      <b/>
      <sz val="15"/>
      <color rgb="FF00B0F0"/>
      <name val="Calibri"/>
      <family val="2"/>
      <scheme val="minor"/>
    </font>
    <font>
      <b/>
      <sz val="20"/>
      <color rgb="FF00B0F0"/>
      <name val="Calibri"/>
      <family val="2"/>
      <scheme val="minor"/>
    </font>
    <font>
      <sz val="40"/>
      <color theme="0"/>
      <name val="Calibri"/>
      <family val="2"/>
      <scheme val="minor"/>
    </font>
    <font>
      <b/>
      <sz val="24"/>
      <color theme="0"/>
      <name val="Calibri"/>
      <family val="2"/>
      <scheme val="minor"/>
    </font>
    <font>
      <b/>
      <sz val="30"/>
      <color theme="5"/>
      <name val="Calibri"/>
      <family val="2"/>
      <scheme val="minor"/>
    </font>
    <font>
      <b/>
      <sz val="20"/>
      <color rgb="FF9C0006"/>
      <name val="Calibri"/>
      <family val="2"/>
      <scheme val="minor"/>
    </font>
    <font>
      <b/>
      <sz val="28"/>
      <color theme="1"/>
      <name val="Calibri"/>
      <family val="2"/>
      <scheme val="minor"/>
    </font>
    <font>
      <sz val="20"/>
      <color theme="1"/>
      <name val="Calibri"/>
      <family val="2"/>
      <scheme val="minor"/>
    </font>
    <font>
      <sz val="24"/>
      <color theme="1"/>
      <name val="Calibri"/>
      <family val="2"/>
      <scheme val="minor"/>
    </font>
    <font>
      <sz val="22"/>
      <color theme="1"/>
      <name val="Calibri"/>
      <family val="2"/>
      <scheme val="minor"/>
    </font>
    <font>
      <sz val="11"/>
      <color rgb="FF9C5700"/>
      <name val="Calibri"/>
      <family val="2"/>
      <scheme val="minor"/>
    </font>
    <font>
      <sz val="11"/>
      <color rgb="FF3F3F76"/>
      <name val="Calibri"/>
      <family val="2"/>
      <scheme val="minor"/>
    </font>
    <font>
      <sz val="11"/>
      <color rgb="FF00B050"/>
      <name val="Calibri"/>
      <family val="2"/>
      <scheme val="minor"/>
    </font>
  </fonts>
  <fills count="20">
    <fill>
      <patternFill patternType="none"/>
    </fill>
    <fill>
      <patternFill patternType="gray125"/>
    </fill>
    <fill>
      <patternFill patternType="solid">
        <fgColor theme="0" tint="-0.34998626667073579"/>
        <bgColor indexed="64"/>
      </patternFill>
    </fill>
    <fill>
      <patternFill patternType="solid">
        <fgColor theme="8" tint="0.59999389629810485"/>
        <bgColor indexed="64"/>
      </patternFill>
    </fill>
    <fill>
      <patternFill patternType="solid">
        <fgColor rgb="FFFFD5D5"/>
        <bgColor indexed="64"/>
      </patternFill>
    </fill>
    <fill>
      <patternFill patternType="solid">
        <fgColor rgb="FFFF3131"/>
        <bgColor indexed="64"/>
      </patternFill>
    </fill>
    <fill>
      <patternFill patternType="solid">
        <fgColor theme="2" tint="-0.249977111117893"/>
        <bgColor indexed="64"/>
      </patternFill>
    </fill>
    <fill>
      <patternFill patternType="solid">
        <fgColor theme="0"/>
        <bgColor indexed="64"/>
      </patternFill>
    </fill>
    <fill>
      <patternFill patternType="solid">
        <fgColor theme="8"/>
        <bgColor indexed="64"/>
      </patternFill>
    </fill>
    <fill>
      <patternFill patternType="solid">
        <fgColor theme="7" tint="0.59999389629810485"/>
        <bgColor indexed="64"/>
      </patternFill>
    </fill>
    <fill>
      <patternFill patternType="solid">
        <fgColor rgb="FFC6EFCE"/>
      </patternFill>
    </fill>
    <fill>
      <patternFill patternType="solid">
        <fgColor rgb="FFF2F2F2"/>
      </patternFill>
    </fill>
    <fill>
      <patternFill patternType="solid">
        <fgColor theme="4" tint="0.59999389629810485"/>
        <bgColor indexed="65"/>
      </patternFill>
    </fill>
    <fill>
      <patternFill patternType="solid">
        <fgColor theme="1"/>
        <bgColor indexed="64"/>
      </patternFill>
    </fill>
    <fill>
      <patternFill patternType="solid">
        <fgColor rgb="FFFFC7CE"/>
      </patternFill>
    </fill>
    <fill>
      <patternFill patternType="solid">
        <fgColor theme="0" tint="-0.499984740745262"/>
        <bgColor indexed="64"/>
      </patternFill>
    </fill>
    <fill>
      <patternFill patternType="solid">
        <fgColor rgb="FFFFEB9C"/>
      </patternFill>
    </fill>
    <fill>
      <patternFill patternType="solid">
        <fgColor rgb="FFFFCC99"/>
      </patternFill>
    </fill>
    <fill>
      <patternFill patternType="solid">
        <fgColor theme="6" tint="0.59999389629810485"/>
        <bgColor indexed="65"/>
      </patternFill>
    </fill>
    <fill>
      <patternFill patternType="solid">
        <fgColor rgb="FFFFFFCC"/>
      </patternFill>
    </fill>
  </fills>
  <borders count="28">
    <border>
      <left/>
      <right/>
      <top/>
      <bottom/>
      <diagonal/>
    </border>
    <border>
      <left/>
      <right style="medium">
        <color theme="8"/>
      </right>
      <top/>
      <bottom/>
      <diagonal/>
    </border>
    <border>
      <left/>
      <right/>
      <top/>
      <bottom style="medium">
        <color theme="8"/>
      </bottom>
      <diagonal/>
    </border>
    <border>
      <left/>
      <right style="medium">
        <color theme="8"/>
      </right>
      <top style="medium">
        <color theme="8"/>
      </top>
      <bottom/>
      <diagonal/>
    </border>
    <border>
      <left/>
      <right style="medium">
        <color theme="8"/>
      </right>
      <top/>
      <bottom style="medium">
        <color theme="8"/>
      </bottom>
      <diagonal/>
    </border>
    <border>
      <left style="medium">
        <color theme="8"/>
      </left>
      <right style="medium">
        <color theme="8"/>
      </right>
      <top style="medium">
        <color theme="8"/>
      </top>
      <bottom/>
      <diagonal/>
    </border>
    <border>
      <left style="medium">
        <color theme="8"/>
      </left>
      <right style="medium">
        <color theme="8"/>
      </right>
      <top/>
      <bottom/>
      <diagonal/>
    </border>
    <border>
      <left style="medium">
        <color theme="8"/>
      </left>
      <right style="medium">
        <color theme="8"/>
      </right>
      <top/>
      <bottom style="medium">
        <color theme="8"/>
      </bottom>
      <diagonal/>
    </border>
    <border>
      <left style="medium">
        <color theme="8"/>
      </left>
      <right/>
      <top/>
      <bottom style="medium">
        <color theme="8"/>
      </bottom>
      <diagonal/>
    </border>
    <border>
      <left style="medium">
        <color theme="8"/>
      </left>
      <right/>
      <top/>
      <bottom/>
      <diagonal/>
    </border>
    <border>
      <left style="medium">
        <color theme="8"/>
      </left>
      <right style="medium">
        <color theme="8"/>
      </right>
      <top/>
      <bottom style="medium">
        <color rgb="FF0070C0"/>
      </bottom>
      <diagonal/>
    </border>
    <border>
      <left style="medium">
        <color theme="8"/>
      </left>
      <right style="medium">
        <color rgb="FF0070C0"/>
      </right>
      <top style="medium">
        <color theme="8"/>
      </top>
      <bottom/>
      <diagonal/>
    </border>
    <border>
      <left style="medium">
        <color theme="8"/>
      </left>
      <right style="medium">
        <color rgb="FF0070C0"/>
      </right>
      <top/>
      <bottom/>
      <diagonal/>
    </border>
    <border>
      <left/>
      <right/>
      <top/>
      <bottom style="thick">
        <color theme="4"/>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C6EFCE"/>
      </left>
      <right style="double">
        <color rgb="FFC6EFCE"/>
      </right>
      <top style="double">
        <color rgb="FFC6EFCE"/>
      </top>
      <bottom style="double">
        <color rgb="FFC6EFCE"/>
      </bottom>
      <diagonal/>
    </border>
    <border>
      <left/>
      <right/>
      <top style="double">
        <color rgb="FFC6EFCE"/>
      </top>
      <bottom/>
      <diagonal/>
    </border>
    <border>
      <left/>
      <right/>
      <top/>
      <bottom style="thick">
        <color rgb="FF5B9BD5"/>
      </bottom>
      <diagonal/>
    </border>
    <border>
      <left style="thin">
        <color rgb="FF90E7F0"/>
      </left>
      <right style="thin">
        <color rgb="FF90E7F0"/>
      </right>
      <top style="thin">
        <color rgb="FF90E7F0"/>
      </top>
      <bottom style="thin">
        <color rgb="FF90E7F0"/>
      </bottom>
      <diagonal/>
    </border>
    <border>
      <left style="thin">
        <color rgb="FF90E7F0"/>
      </left>
      <right/>
      <top style="thin">
        <color rgb="FF90E7F0"/>
      </top>
      <bottom style="thin">
        <color rgb="FF90E7F0"/>
      </bottom>
      <diagonal/>
    </border>
    <border>
      <left/>
      <right/>
      <top style="thin">
        <color rgb="FF90E7F0"/>
      </top>
      <bottom style="thin">
        <color rgb="FF90E7F0"/>
      </bottom>
      <diagonal/>
    </border>
    <border>
      <left/>
      <right style="thin">
        <color rgb="FF90E7F0"/>
      </right>
      <top style="thin">
        <color rgb="FF90E7F0"/>
      </top>
      <bottom style="thin">
        <color rgb="FF90E7F0"/>
      </bottom>
      <diagonal/>
    </border>
    <border>
      <left/>
      <right style="medium">
        <color theme="8"/>
      </right>
      <top/>
      <bottom style="medium">
        <color rgb="FF0070C0"/>
      </bottom>
      <diagonal/>
    </border>
    <border>
      <left/>
      <right/>
      <top/>
      <bottom style="medium">
        <color rgb="FF0070C0"/>
      </bottom>
      <diagonal/>
    </border>
    <border>
      <left style="medium">
        <color theme="8"/>
      </left>
      <right/>
      <top/>
      <bottom style="medium">
        <color rgb="FF0070C0"/>
      </bottom>
      <diagonal/>
    </border>
    <border>
      <left style="thin">
        <color rgb="FFFFD5D5"/>
      </left>
      <right style="thin">
        <color rgb="FFFFD5D5"/>
      </right>
      <top style="thin">
        <color rgb="FFFFD5D5"/>
      </top>
      <bottom style="thin">
        <color rgb="FFFFD5D5"/>
      </bottom>
      <diagonal/>
    </border>
    <border>
      <left style="thin">
        <color rgb="FFB2B2B2"/>
      </left>
      <right style="thin">
        <color rgb="FFB2B2B2"/>
      </right>
      <top style="thin">
        <color rgb="FFB2B2B2"/>
      </top>
      <bottom style="thin">
        <color rgb="FFB2B2B2"/>
      </bottom>
      <diagonal/>
    </border>
  </borders>
  <cellStyleXfs count="12">
    <xf numFmtId="0" fontId="0" fillId="0" borderId="0"/>
    <xf numFmtId="0" fontId="7" fillId="0" borderId="13" applyNumberFormat="0" applyFill="0" applyAlignment="0" applyProtection="0"/>
    <xf numFmtId="0" fontId="8" fillId="10" borderId="0" applyNumberFormat="0" applyBorder="0" applyAlignment="0" applyProtection="0"/>
    <xf numFmtId="0" fontId="9" fillId="11" borderId="15" applyNumberFormat="0" applyAlignment="0" applyProtection="0"/>
    <xf numFmtId="0" fontId="10" fillId="11" borderId="14" applyNumberFormat="0" applyAlignment="0" applyProtection="0"/>
    <xf numFmtId="0" fontId="6" fillId="12" borderId="0" applyNumberFormat="0" applyBorder="0" applyAlignment="0" applyProtection="0"/>
    <xf numFmtId="0" fontId="11" fillId="0" borderId="0" applyFill="0" applyBorder="0">
      <alignment wrapText="1"/>
    </xf>
    <xf numFmtId="0" fontId="28" fillId="14" borderId="0" applyNumberFormat="0" applyBorder="0" applyAlignment="0" applyProtection="0"/>
    <xf numFmtId="0" fontId="56" fillId="16" borderId="0" applyNumberFormat="0" applyBorder="0" applyAlignment="0" applyProtection="0"/>
    <xf numFmtId="0" fontId="57" fillId="17" borderId="14" applyNumberFormat="0" applyAlignment="0" applyProtection="0"/>
    <xf numFmtId="0" fontId="6" fillId="18" borderId="0" applyNumberFormat="0" applyBorder="0" applyAlignment="0" applyProtection="0"/>
    <xf numFmtId="0" fontId="6" fillId="19" borderId="27" applyNumberFormat="0" applyFont="0" applyAlignment="0" applyProtection="0"/>
  </cellStyleXfs>
  <cellXfs count="303">
    <xf numFmtId="0" fontId="0" fillId="0" borderId="0" xfId="0"/>
    <xf numFmtId="0" fontId="0" fillId="0" borderId="0" xfId="0" applyAlignment="1">
      <alignment vertical="center"/>
    </xf>
    <xf numFmtId="0" fontId="0" fillId="0" borderId="0" xfId="0" applyAlignment="1">
      <alignment horizontal="center" vertical="center"/>
    </xf>
    <xf numFmtId="0" fontId="0" fillId="2" borderId="0" xfId="0" applyFill="1" applyAlignment="1" applyProtection="1">
      <alignment horizontal="center" vertical="center"/>
    </xf>
    <xf numFmtId="0" fontId="0" fillId="2" borderId="0" xfId="0" applyFill="1" applyAlignment="1">
      <alignment horizontal="center" vertical="center"/>
    </xf>
    <xf numFmtId="0" fontId="0" fillId="0" borderId="0" xfId="0" applyAlignment="1">
      <alignment horizontal="center"/>
    </xf>
    <xf numFmtId="0" fontId="0" fillId="2" borderId="0" xfId="0" applyFill="1" applyAlignment="1">
      <alignment vertical="center"/>
    </xf>
    <xf numFmtId="0" fontId="0" fillId="0" borderId="0" xfId="0" applyAlignment="1">
      <alignment horizontal="left" vertical="center"/>
    </xf>
    <xf numFmtId="0" fontId="0" fillId="2" borderId="0" xfId="0" applyFill="1" applyAlignment="1">
      <alignment horizontal="left" vertical="center"/>
    </xf>
    <xf numFmtId="0" fontId="0" fillId="0" borderId="0" xfId="0" applyBorder="1"/>
    <xf numFmtId="164" fontId="0" fillId="0" borderId="0" xfId="0" applyNumberFormat="1"/>
    <xf numFmtId="164" fontId="0" fillId="2" borderId="0" xfId="0" applyNumberFormat="1" applyFill="1"/>
    <xf numFmtId="9" fontId="3" fillId="4" borderId="0" xfId="0" applyNumberFormat="1" applyFont="1" applyFill="1"/>
    <xf numFmtId="9" fontId="3" fillId="0" borderId="0" xfId="0" applyNumberFormat="1" applyFont="1" applyFill="1"/>
    <xf numFmtId="0" fontId="0" fillId="5" borderId="0" xfId="0" applyFill="1" applyAlignment="1">
      <alignment vertical="center"/>
    </xf>
    <xf numFmtId="0" fontId="0" fillId="0" borderId="0" xfId="0" applyFill="1" applyAlignment="1">
      <alignment vertical="center"/>
    </xf>
    <xf numFmtId="9" fontId="3" fillId="6" borderId="0" xfId="0" applyNumberFormat="1" applyFont="1" applyFill="1"/>
    <xf numFmtId="0" fontId="0" fillId="6" borderId="0" xfId="0" applyFill="1" applyAlignment="1">
      <alignment horizontal="center" vertical="center"/>
    </xf>
    <xf numFmtId="0" fontId="0" fillId="6" borderId="0" xfId="0" applyFill="1" applyAlignment="1">
      <alignment vertical="center"/>
    </xf>
    <xf numFmtId="164" fontId="0" fillId="6" borderId="0" xfId="0" applyNumberFormat="1" applyFill="1"/>
    <xf numFmtId="0" fontId="0" fillId="0" borderId="0" xfId="0" applyAlignment="1">
      <alignment horizontal="center" vertical="center"/>
    </xf>
    <xf numFmtId="0" fontId="0" fillId="0" borderId="0" xfId="0" applyFill="1"/>
    <xf numFmtId="0" fontId="0" fillId="8" borderId="0" xfId="0" applyFill="1"/>
    <xf numFmtId="164" fontId="0" fillId="3" borderId="0" xfId="0" applyNumberFormat="1" applyFill="1"/>
    <xf numFmtId="2" fontId="0" fillId="0" borderId="0" xfId="0" applyNumberFormat="1" applyAlignment="1">
      <alignment horizontal="right" vertical="center"/>
    </xf>
    <xf numFmtId="2" fontId="0" fillId="2" borderId="0" xfId="0" applyNumberFormat="1" applyFill="1" applyAlignment="1">
      <alignment horizontal="right" vertical="center"/>
    </xf>
    <xf numFmtId="0" fontId="0" fillId="0" borderId="0" xfId="0" applyNumberFormat="1" applyFill="1"/>
    <xf numFmtId="0" fontId="0" fillId="0" borderId="1" xfId="0" applyBorder="1" applyAlignment="1">
      <alignment horizontal="center" vertical="center"/>
    </xf>
    <xf numFmtId="2" fontId="0" fillId="0" borderId="0" xfId="0" applyNumberFormat="1" applyAlignment="1">
      <alignment horizontal="center" vertical="center"/>
    </xf>
    <xf numFmtId="0" fontId="0" fillId="0" borderId="1" xfId="0" applyBorder="1" applyAlignment="1">
      <alignment vertical="center"/>
    </xf>
    <xf numFmtId="2" fontId="0" fillId="0" borderId="0" xfId="0" applyNumberFormat="1" applyBorder="1" applyAlignment="1">
      <alignment horizontal="center" vertical="center"/>
    </xf>
    <xf numFmtId="0" fontId="0" fillId="0" borderId="0" xfId="0" applyNumberFormat="1" applyAlignment="1">
      <alignment horizontal="center" vertical="center"/>
    </xf>
    <xf numFmtId="0" fontId="0" fillId="0" borderId="2" xfId="0" applyBorder="1"/>
    <xf numFmtId="0" fontId="0" fillId="0" borderId="3" xfId="0" applyBorder="1" applyAlignment="1">
      <alignment vertical="center"/>
    </xf>
    <xf numFmtId="2" fontId="0" fillId="0" borderId="1" xfId="0" applyNumberFormat="1" applyBorder="1" applyAlignment="1">
      <alignment horizontal="center" vertical="center"/>
    </xf>
    <xf numFmtId="0" fontId="0" fillId="0" borderId="2" xfId="0" applyBorder="1" applyAlignment="1">
      <alignment vertical="center"/>
    </xf>
    <xf numFmtId="0" fontId="0" fillId="0" borderId="4" xfId="0" applyBorder="1" applyAlignment="1">
      <alignment vertical="center"/>
    </xf>
    <xf numFmtId="2" fontId="0" fillId="0" borderId="2" xfId="0" applyNumberFormat="1" applyBorder="1" applyAlignment="1">
      <alignment horizontal="center" vertical="center"/>
    </xf>
    <xf numFmtId="0" fontId="0" fillId="0" borderId="4" xfId="0" applyBorder="1" applyAlignment="1">
      <alignment horizontal="center" vertical="center"/>
    </xf>
    <xf numFmtId="0" fontId="0" fillId="0" borderId="2" xfId="0" applyNumberFormat="1" applyBorder="1" applyAlignment="1">
      <alignment horizontal="center" vertical="center"/>
    </xf>
    <xf numFmtId="0" fontId="0" fillId="0" borderId="2" xfId="0" applyBorder="1" applyAlignment="1">
      <alignment horizontal="center" vertical="center"/>
    </xf>
    <xf numFmtId="2" fontId="0" fillId="0" borderId="4" xfId="0" applyNumberFormat="1" applyBorder="1" applyAlignment="1">
      <alignment horizontal="center" vertical="center"/>
    </xf>
    <xf numFmtId="1" fontId="0" fillId="0" borderId="1" xfId="0" applyNumberFormat="1" applyBorder="1" applyAlignment="1">
      <alignment horizontal="center" vertical="center"/>
    </xf>
    <xf numFmtId="1" fontId="0" fillId="0" borderId="4" xfId="0" applyNumberFormat="1" applyBorder="1" applyAlignment="1">
      <alignment horizontal="center" vertical="center"/>
    </xf>
    <xf numFmtId="2" fontId="0" fillId="0" borderId="6" xfId="0" applyNumberFormat="1" applyBorder="1" applyAlignment="1">
      <alignment horizontal="center" vertical="center"/>
    </xf>
    <xf numFmtId="2" fontId="0" fillId="0" borderId="7" xfId="0" applyNumberFormat="1" applyBorder="1" applyAlignment="1">
      <alignment horizontal="center" vertical="center"/>
    </xf>
    <xf numFmtId="2" fontId="0" fillId="0" borderId="9" xfId="0" applyNumberFormat="1" applyBorder="1" applyAlignment="1">
      <alignment horizontal="center" vertical="center"/>
    </xf>
    <xf numFmtId="2" fontId="0" fillId="0" borderId="8" xfId="0" applyNumberFormat="1" applyBorder="1" applyAlignment="1">
      <alignment horizontal="center" vertical="center"/>
    </xf>
    <xf numFmtId="0" fontId="0" fillId="0" borderId="5" xfId="0" applyBorder="1" applyAlignment="1">
      <alignment vertical="center"/>
    </xf>
    <xf numFmtId="0" fontId="2" fillId="0" borderId="1" xfId="0" applyFont="1" applyFill="1" applyBorder="1" applyAlignment="1">
      <alignment vertical="center"/>
    </xf>
    <xf numFmtId="1" fontId="2" fillId="9" borderId="0" xfId="0" applyNumberFormat="1" applyFont="1" applyFill="1" applyAlignment="1">
      <alignment horizontal="center" vertical="center"/>
    </xf>
    <xf numFmtId="0" fontId="2" fillId="9" borderId="0" xfId="0" applyFont="1" applyFill="1" applyAlignment="1">
      <alignment horizontal="center" vertical="center"/>
    </xf>
    <xf numFmtId="0" fontId="2" fillId="9" borderId="1" xfId="0" applyFont="1" applyFill="1" applyBorder="1" applyAlignment="1">
      <alignment horizontal="center" vertical="center"/>
    </xf>
    <xf numFmtId="0" fontId="2" fillId="9" borderId="0" xfId="0" applyNumberFormat="1" applyFont="1" applyFill="1" applyAlignment="1">
      <alignment horizontal="center" vertical="center"/>
    </xf>
    <xf numFmtId="0" fontId="2" fillId="9" borderId="1" xfId="0" applyNumberFormat="1" applyFont="1" applyFill="1" applyBorder="1" applyAlignment="1">
      <alignment horizontal="center" vertical="center"/>
    </xf>
    <xf numFmtId="0" fontId="2" fillId="9" borderId="6" xfId="0" applyNumberFormat="1" applyFont="1" applyFill="1" applyBorder="1" applyAlignment="1">
      <alignment horizontal="center" vertical="center"/>
    </xf>
    <xf numFmtId="0" fontId="2" fillId="0" borderId="0" xfId="0" applyFont="1" applyAlignment="1">
      <alignment vertical="center"/>
    </xf>
    <xf numFmtId="0" fontId="0" fillId="0" borderId="1" xfId="0" applyFont="1" applyBorder="1" applyAlignment="1">
      <alignment vertical="center"/>
    </xf>
    <xf numFmtId="0" fontId="0" fillId="0" borderId="0" xfId="0" applyFont="1" applyAlignment="1">
      <alignment vertical="center"/>
    </xf>
    <xf numFmtId="1" fontId="0" fillId="0" borderId="7" xfId="0" applyNumberFormat="1" applyBorder="1" applyAlignment="1">
      <alignment horizontal="center" vertical="center"/>
    </xf>
    <xf numFmtId="0" fontId="0" fillId="0" borderId="3" xfId="0" applyBorder="1" applyAlignment="1">
      <alignment horizontal="center" vertical="center"/>
    </xf>
    <xf numFmtId="0" fontId="2" fillId="0" borderId="2" xfId="0" applyFont="1" applyBorder="1"/>
    <xf numFmtId="0" fontId="2" fillId="0" borderId="2" xfId="0" applyFont="1" applyBorder="1" applyAlignment="1">
      <alignment horizontal="center" vertical="center"/>
    </xf>
    <xf numFmtId="0" fontId="2" fillId="0" borderId="2" xfId="0" applyFont="1" applyBorder="1" applyAlignment="1">
      <alignment vertical="center"/>
    </xf>
    <xf numFmtId="0" fontId="2" fillId="0" borderId="0" xfId="0" applyFont="1" applyAlignment="1"/>
    <xf numFmtId="17" fontId="2" fillId="0" borderId="0" xfId="0" applyNumberFormat="1" applyFont="1" applyAlignment="1">
      <alignment horizontal="left"/>
    </xf>
    <xf numFmtId="18" fontId="2" fillId="0" borderId="2" xfId="0" applyNumberFormat="1" applyFont="1" applyBorder="1" applyAlignment="1">
      <alignment horizontal="left"/>
    </xf>
    <xf numFmtId="0" fontId="4" fillId="0" borderId="0" xfId="0" applyFont="1" applyAlignment="1">
      <alignment vertical="center"/>
    </xf>
    <xf numFmtId="0" fontId="0" fillId="0" borderId="0" xfId="0" applyBorder="1" applyAlignment="1">
      <alignment vertical="center"/>
    </xf>
    <xf numFmtId="0" fontId="0" fillId="0" borderId="0" xfId="0" applyBorder="1" applyAlignment="1">
      <alignment horizontal="center" vertical="center"/>
    </xf>
    <xf numFmtId="1" fontId="0" fillId="0" borderId="0" xfId="0" applyNumberFormat="1" applyBorder="1" applyAlignment="1">
      <alignment horizontal="center" vertical="center"/>
    </xf>
    <xf numFmtId="0" fontId="0" fillId="0" borderId="0" xfId="0" applyNumberFormat="1" applyBorder="1" applyAlignment="1">
      <alignment horizontal="center" vertical="center"/>
    </xf>
    <xf numFmtId="0" fontId="2" fillId="0" borderId="0" xfId="0" applyFont="1" applyBorder="1"/>
    <xf numFmtId="18" fontId="2" fillId="0" borderId="0" xfId="0" applyNumberFormat="1" applyFont="1" applyBorder="1" applyAlignment="1">
      <alignment horizontal="left"/>
    </xf>
    <xf numFmtId="0" fontId="0" fillId="0" borderId="3" xfId="0" applyBorder="1" applyAlignment="1">
      <alignment horizontal="left" vertical="center"/>
    </xf>
    <xf numFmtId="0" fontId="0" fillId="0" borderId="5" xfId="0" applyBorder="1" applyAlignment="1">
      <alignment horizontal="center" vertical="center"/>
    </xf>
    <xf numFmtId="1" fontId="0" fillId="0" borderId="10" xfId="0" applyNumberFormat="1" applyBorder="1" applyAlignment="1">
      <alignment horizontal="center" vertical="center"/>
    </xf>
    <xf numFmtId="0" fontId="0" fillId="0" borderId="11" xfId="0" applyBorder="1" applyAlignment="1">
      <alignment horizontal="center" vertical="center"/>
    </xf>
    <xf numFmtId="0" fontId="2" fillId="9" borderId="12" xfId="0" applyNumberFormat="1" applyFont="1" applyFill="1" applyBorder="1" applyAlignment="1">
      <alignment horizontal="center" vertical="center"/>
    </xf>
    <xf numFmtId="2" fontId="0" fillId="0" borderId="12" xfId="0" applyNumberFormat="1" applyBorder="1" applyAlignment="1">
      <alignment horizontal="center" vertical="center"/>
    </xf>
    <xf numFmtId="0" fontId="0" fillId="0" borderId="0" xfId="0" applyAlignment="1">
      <alignment horizontal="center" vertical="center"/>
    </xf>
    <xf numFmtId="0" fontId="19" fillId="0" borderId="0" xfId="0" applyFont="1" applyBorder="1" applyAlignment="1">
      <alignment horizontal="left" vertical="center" wrapText="1"/>
    </xf>
    <xf numFmtId="0" fontId="23" fillId="0" borderId="0" xfId="0" applyFont="1" applyBorder="1" applyAlignment="1">
      <alignment horizontal="left" vertical="center" wrapText="1"/>
    </xf>
    <xf numFmtId="0" fontId="27" fillId="0" borderId="0" xfId="0" applyFont="1" applyAlignment="1">
      <alignment horizontal="left" vertical="center" wrapText="1" indent="1"/>
    </xf>
    <xf numFmtId="0" fontId="0" fillId="0" borderId="19" xfId="0" applyBorder="1"/>
    <xf numFmtId="0" fontId="23" fillId="0" borderId="19" xfId="0" applyFont="1" applyBorder="1" applyAlignment="1">
      <alignment vertical="center" wrapText="1"/>
    </xf>
    <xf numFmtId="0" fontId="22" fillId="0" borderId="19" xfId="0" applyFont="1" applyBorder="1"/>
    <xf numFmtId="0" fontId="17" fillId="0" borderId="19" xfId="0" applyFont="1" applyBorder="1" applyAlignment="1">
      <alignment vertical="center"/>
    </xf>
    <xf numFmtId="0" fontId="21" fillId="0" borderId="19" xfId="0" applyFont="1" applyBorder="1" applyAlignment="1">
      <alignment vertical="center"/>
    </xf>
    <xf numFmtId="0" fontId="19" fillId="0" borderId="19" xfId="0" applyFont="1" applyBorder="1" applyAlignment="1">
      <alignment vertical="center"/>
    </xf>
    <xf numFmtId="0" fontId="20" fillId="0" borderId="19" xfId="0" applyFont="1" applyBorder="1" applyAlignment="1">
      <alignment vertical="center"/>
    </xf>
    <xf numFmtId="0" fontId="26" fillId="0" borderId="19" xfId="0" applyFont="1" applyBorder="1" applyAlignment="1">
      <alignment vertical="center"/>
    </xf>
    <xf numFmtId="0" fontId="23" fillId="0" borderId="19" xfId="0" applyFont="1" applyBorder="1" applyAlignment="1">
      <alignment horizontal="left" vertical="center" wrapText="1"/>
    </xf>
    <xf numFmtId="0" fontId="0" fillId="0" borderId="0" xfId="0" applyAlignment="1">
      <alignment horizontal="center" vertical="center"/>
    </xf>
    <xf numFmtId="0" fontId="3" fillId="0" borderId="0" xfId="0" applyFont="1" applyBorder="1" applyAlignment="1">
      <alignment vertical="center"/>
    </xf>
    <xf numFmtId="0" fontId="29" fillId="0" borderId="0" xfId="0" applyFont="1" applyBorder="1" applyAlignment="1">
      <alignment horizontal="left" vertical="center"/>
    </xf>
    <xf numFmtId="0" fontId="29" fillId="0" borderId="0" xfId="0" applyFont="1" applyBorder="1" applyAlignment="1">
      <alignment vertical="center"/>
    </xf>
    <xf numFmtId="0" fontId="22" fillId="0" borderId="0" xfId="0" applyFont="1" applyAlignment="1">
      <alignment vertical="center"/>
    </xf>
    <xf numFmtId="0" fontId="0" fillId="0" borderId="0" xfId="0" applyAlignment="1">
      <alignment horizontal="left" vertical="center"/>
    </xf>
    <xf numFmtId="0" fontId="30" fillId="0" borderId="0" xfId="0" applyFont="1" applyBorder="1" applyAlignment="1">
      <alignment vertical="center"/>
    </xf>
    <xf numFmtId="49" fontId="0" fillId="0" borderId="0" xfId="0" applyNumberFormat="1"/>
    <xf numFmtId="49" fontId="0" fillId="0" borderId="0" xfId="0" applyNumberFormat="1" applyAlignment="1">
      <alignment horizontal="left" vertical="center"/>
    </xf>
    <xf numFmtId="0" fontId="30" fillId="0" borderId="0" xfId="0" applyFont="1" applyBorder="1" applyAlignment="1">
      <alignment horizontal="left" vertical="center"/>
    </xf>
    <xf numFmtId="0" fontId="0" fillId="0" borderId="0" xfId="0" applyAlignment="1">
      <alignment horizontal="center" vertical="center"/>
    </xf>
    <xf numFmtId="0" fontId="0" fillId="0" borderId="0" xfId="0" applyFill="1" applyBorder="1" applyAlignment="1">
      <alignment vertical="center"/>
    </xf>
    <xf numFmtId="0" fontId="2" fillId="0" borderId="0" xfId="0" applyFont="1" applyFill="1" applyBorder="1" applyAlignment="1">
      <alignment vertical="center"/>
    </xf>
    <xf numFmtId="2" fontId="0" fillId="0" borderId="0" xfId="0" applyNumberFormat="1" applyFill="1" applyBorder="1" applyAlignment="1">
      <alignment horizontal="center" vertical="center"/>
    </xf>
    <xf numFmtId="0" fontId="0" fillId="0" borderId="0" xfId="0" applyFill="1" applyBorder="1" applyAlignment="1">
      <alignment horizontal="center" vertical="center"/>
    </xf>
    <xf numFmtId="0" fontId="0" fillId="0" borderId="0" xfId="0" applyNumberFormat="1" applyFill="1" applyBorder="1" applyAlignment="1">
      <alignment horizontal="center" vertical="center"/>
    </xf>
    <xf numFmtId="1" fontId="0" fillId="0" borderId="0" xfId="0" applyNumberFormat="1" applyFill="1" applyBorder="1" applyAlignment="1">
      <alignment horizontal="center" vertical="center"/>
    </xf>
    <xf numFmtId="0" fontId="0" fillId="0" borderId="0" xfId="0" applyFill="1" applyBorder="1"/>
    <xf numFmtId="0" fontId="2" fillId="0" borderId="0" xfId="0" applyFont="1" applyFill="1" applyBorder="1" applyAlignment="1"/>
    <xf numFmtId="17" fontId="2" fillId="0" borderId="0" xfId="0" applyNumberFormat="1" applyFont="1" applyFill="1" applyBorder="1" applyAlignment="1">
      <alignment horizontal="left"/>
    </xf>
    <xf numFmtId="0" fontId="2" fillId="0" borderId="0" xfId="0" applyFont="1" applyFill="1" applyBorder="1" applyAlignment="1">
      <alignment horizontal="center" vertical="center"/>
    </xf>
    <xf numFmtId="0" fontId="2" fillId="0" borderId="0" xfId="0" applyFont="1" applyFill="1" applyBorder="1"/>
    <xf numFmtId="18" fontId="2" fillId="0" borderId="0" xfId="0" applyNumberFormat="1" applyFont="1" applyFill="1" applyBorder="1" applyAlignment="1">
      <alignment horizontal="left"/>
    </xf>
    <xf numFmtId="0" fontId="0" fillId="0" borderId="0" xfId="0" applyFont="1" applyFill="1" applyBorder="1" applyAlignment="1">
      <alignment vertical="center"/>
    </xf>
    <xf numFmtId="1" fontId="2" fillId="0" borderId="0" xfId="0" applyNumberFormat="1" applyFont="1" applyFill="1" applyBorder="1" applyAlignment="1">
      <alignment horizontal="center" vertical="center"/>
    </xf>
    <xf numFmtId="0" fontId="2" fillId="0" borderId="0" xfId="0" applyNumberFormat="1" applyFont="1" applyFill="1" applyBorder="1" applyAlignment="1">
      <alignment horizontal="center" vertical="center"/>
    </xf>
    <xf numFmtId="0" fontId="31" fillId="0" borderId="0" xfId="0" applyFont="1" applyFill="1" applyBorder="1" applyAlignment="1">
      <alignment vertical="center"/>
    </xf>
    <xf numFmtId="0" fontId="31" fillId="0" borderId="0" xfId="0" applyFont="1" applyFill="1" applyBorder="1" applyAlignment="1">
      <alignment horizontal="left" vertical="center"/>
    </xf>
    <xf numFmtId="0" fontId="31" fillId="0" borderId="0" xfId="0" applyFont="1" applyFill="1" applyBorder="1" applyAlignment="1">
      <alignment horizontal="center" vertical="center"/>
    </xf>
    <xf numFmtId="0" fontId="0" fillId="0" borderId="24" xfId="0" applyBorder="1" applyAlignment="1">
      <alignment vertical="center"/>
    </xf>
    <xf numFmtId="0" fontId="0" fillId="0" borderId="23" xfId="0" applyBorder="1" applyAlignment="1">
      <alignment vertical="center"/>
    </xf>
    <xf numFmtId="2" fontId="0" fillId="0" borderId="23" xfId="0" applyNumberFormat="1" applyBorder="1" applyAlignment="1">
      <alignment horizontal="center" vertical="center"/>
    </xf>
    <xf numFmtId="0" fontId="0" fillId="0" borderId="24" xfId="0" applyNumberFormat="1" applyBorder="1" applyAlignment="1">
      <alignment horizontal="center" vertical="center"/>
    </xf>
    <xf numFmtId="2" fontId="0" fillId="0" borderId="24" xfId="0" applyNumberFormat="1" applyBorder="1" applyAlignment="1">
      <alignment horizontal="center" vertical="center"/>
    </xf>
    <xf numFmtId="1" fontId="0" fillId="0" borderId="23" xfId="0" applyNumberFormat="1" applyBorder="1" applyAlignment="1">
      <alignment horizontal="center" vertical="center"/>
    </xf>
    <xf numFmtId="2" fontId="0" fillId="0" borderId="25" xfId="0" applyNumberFormat="1" applyBorder="1" applyAlignment="1">
      <alignment horizontal="center" vertical="center"/>
    </xf>
    <xf numFmtId="2" fontId="0" fillId="0" borderId="10" xfId="0" applyNumberFormat="1" applyBorder="1" applyAlignment="1">
      <alignment horizontal="center" vertical="center"/>
    </xf>
    <xf numFmtId="0" fontId="34" fillId="13" borderId="0" xfId="2" applyFont="1" applyFill="1" applyAlignment="1">
      <alignment vertical="center"/>
    </xf>
    <xf numFmtId="0" fontId="9" fillId="13" borderId="0" xfId="3" applyFill="1" applyBorder="1" applyAlignment="1">
      <alignment vertical="center"/>
    </xf>
    <xf numFmtId="0" fontId="9" fillId="13" borderId="0" xfId="3" applyFill="1" applyBorder="1" applyAlignment="1"/>
    <xf numFmtId="0" fontId="0" fillId="13" borderId="0" xfId="0" applyFill="1"/>
    <xf numFmtId="0" fontId="0" fillId="13" borderId="0" xfId="0" applyFill="1" applyBorder="1"/>
    <xf numFmtId="0" fontId="23" fillId="13" borderId="0" xfId="0" applyFont="1" applyFill="1" applyBorder="1" applyAlignment="1">
      <alignment vertical="center" wrapText="1"/>
    </xf>
    <xf numFmtId="0" fontId="42" fillId="13" borderId="0" xfId="3" applyFont="1" applyFill="1" applyBorder="1" applyAlignment="1">
      <alignment vertical="center"/>
    </xf>
    <xf numFmtId="0" fontId="15" fillId="13" borderId="0" xfId="5" applyFont="1" applyFill="1" applyBorder="1" applyAlignment="1">
      <alignment vertical="center"/>
    </xf>
    <xf numFmtId="0" fontId="18" fillId="13" borderId="0" xfId="2" applyFont="1" applyFill="1" applyBorder="1" applyAlignment="1">
      <alignment vertical="center"/>
    </xf>
    <xf numFmtId="0" fontId="25" fillId="13" borderId="0" xfId="0" applyFont="1" applyFill="1" applyBorder="1" applyAlignment="1">
      <alignment vertical="center"/>
    </xf>
    <xf numFmtId="0" fontId="32" fillId="13" borderId="0" xfId="0" applyFont="1" applyFill="1" applyBorder="1"/>
    <xf numFmtId="0" fontId="35" fillId="13" borderId="0" xfId="7" applyFont="1" applyFill="1" applyBorder="1" applyAlignment="1">
      <alignment vertical="center"/>
    </xf>
    <xf numFmtId="0" fontId="22" fillId="13" borderId="0" xfId="0" applyFont="1" applyFill="1" applyBorder="1"/>
    <xf numFmtId="0" fontId="17" fillId="13" borderId="0" xfId="0" applyFont="1" applyFill="1" applyBorder="1" applyAlignment="1">
      <alignment vertical="center"/>
    </xf>
    <xf numFmtId="0" fontId="36" fillId="13" borderId="0" xfId="0" applyFont="1" applyFill="1" applyBorder="1" applyAlignment="1">
      <alignment vertical="center" wrapText="1"/>
    </xf>
    <xf numFmtId="0" fontId="9" fillId="13" borderId="18" xfId="3" applyFill="1" applyBorder="1" applyAlignment="1">
      <alignment vertical="center"/>
    </xf>
    <xf numFmtId="0" fontId="37" fillId="13" borderId="0" xfId="4" applyFont="1" applyFill="1" applyBorder="1" applyAlignment="1"/>
    <xf numFmtId="0" fontId="38" fillId="13" borderId="0" xfId="0" applyFont="1" applyFill="1" applyBorder="1" applyAlignment="1">
      <alignment vertical="center"/>
    </xf>
    <xf numFmtId="0" fontId="7" fillId="13" borderId="0" xfId="1" applyFill="1" applyBorder="1" applyAlignment="1">
      <alignment vertical="center"/>
    </xf>
    <xf numFmtId="0" fontId="39" fillId="13" borderId="0" xfId="0" applyFont="1" applyFill="1" applyBorder="1" applyAlignment="1"/>
    <xf numFmtId="0" fontId="39" fillId="13" borderId="0" xfId="0" applyFont="1" applyFill="1" applyBorder="1" applyAlignment="1">
      <alignment horizontal="center"/>
    </xf>
    <xf numFmtId="0" fontId="23" fillId="13" borderId="0" xfId="0" applyFont="1" applyFill="1" applyBorder="1" applyAlignment="1">
      <alignment horizontal="left" vertical="center" wrapText="1"/>
    </xf>
    <xf numFmtId="0" fontId="40" fillId="13" borderId="0" xfId="5" applyFont="1" applyFill="1" applyBorder="1" applyAlignment="1">
      <alignment vertical="center"/>
    </xf>
    <xf numFmtId="0" fontId="32" fillId="13" borderId="0" xfId="0" applyFont="1" applyFill="1" applyBorder="1" applyAlignment="1">
      <alignment vertical="center"/>
    </xf>
    <xf numFmtId="0" fontId="41" fillId="13" borderId="0" xfId="0" applyFont="1" applyFill="1" applyBorder="1" applyAlignment="1">
      <alignment horizontal="left" vertical="center" wrapText="1" indent="1"/>
    </xf>
    <xf numFmtId="0" fontId="32" fillId="13" borderId="0" xfId="0" applyFont="1" applyFill="1"/>
    <xf numFmtId="0" fontId="32" fillId="13" borderId="0" xfId="0" applyFont="1" applyFill="1" applyAlignment="1"/>
    <xf numFmtId="0" fontId="14" fillId="13" borderId="0" xfId="1" applyFont="1" applyFill="1" applyBorder="1" applyAlignment="1">
      <alignment vertical="center"/>
    </xf>
    <xf numFmtId="0" fontId="14" fillId="13" borderId="0" xfId="1" applyFont="1" applyFill="1" applyBorder="1" applyAlignment="1">
      <alignment horizontal="center" vertical="center"/>
    </xf>
    <xf numFmtId="49" fontId="32" fillId="13" borderId="0" xfId="0" applyNumberFormat="1" applyFont="1" applyFill="1" applyBorder="1" applyAlignment="1">
      <alignment horizontal="left" vertical="center"/>
    </xf>
    <xf numFmtId="49" fontId="32" fillId="13" borderId="0" xfId="0" applyNumberFormat="1" applyFont="1" applyFill="1" applyBorder="1" applyAlignment="1">
      <alignment vertical="center"/>
    </xf>
    <xf numFmtId="49" fontId="32" fillId="13" borderId="0" xfId="0" applyNumberFormat="1" applyFont="1" applyFill="1" applyBorder="1"/>
    <xf numFmtId="49" fontId="0" fillId="13" borderId="0" xfId="0" applyNumberFormat="1" applyFill="1" applyBorder="1" applyAlignment="1">
      <alignment horizontal="left" vertical="center"/>
    </xf>
    <xf numFmtId="49" fontId="0" fillId="13" borderId="0" xfId="0" applyNumberFormat="1" applyFill="1" applyBorder="1"/>
    <xf numFmtId="0" fontId="16" fillId="13" borderId="0" xfId="3" applyFont="1" applyFill="1" applyBorder="1" applyAlignment="1">
      <alignment horizontal="center" vertical="center"/>
    </xf>
    <xf numFmtId="0" fontId="19" fillId="13" borderId="0" xfId="0" applyFont="1" applyFill="1" applyBorder="1" applyAlignment="1">
      <alignment horizontal="left" vertical="center" wrapText="1"/>
    </xf>
    <xf numFmtId="0" fontId="43" fillId="13" borderId="0" xfId="1" applyFont="1" applyFill="1" applyBorder="1" applyAlignment="1">
      <alignment vertical="center"/>
    </xf>
    <xf numFmtId="0" fontId="31" fillId="13" borderId="0" xfId="3" applyFont="1" applyFill="1" applyBorder="1" applyAlignment="1">
      <alignment vertical="center"/>
    </xf>
    <xf numFmtId="0" fontId="44" fillId="13" borderId="0" xfId="5" applyFont="1" applyFill="1" applyBorder="1" applyAlignment="1">
      <alignment vertical="center"/>
    </xf>
    <xf numFmtId="0" fontId="33" fillId="13" borderId="0" xfId="0" applyFont="1" applyFill="1"/>
    <xf numFmtId="0" fontId="33" fillId="13" borderId="0" xfId="0" applyFont="1" applyFill="1" applyBorder="1"/>
    <xf numFmtId="0" fontId="43" fillId="13" borderId="0" xfId="5" applyFont="1" applyFill="1" applyBorder="1" applyAlignment="1">
      <alignment vertical="center"/>
    </xf>
    <xf numFmtId="0" fontId="33" fillId="7" borderId="0" xfId="0" applyFont="1" applyFill="1"/>
    <xf numFmtId="0" fontId="16" fillId="13" borderId="0" xfId="3" applyFont="1" applyFill="1" applyBorder="1" applyAlignment="1">
      <alignment vertical="center"/>
    </xf>
    <xf numFmtId="0" fontId="12" fillId="13" borderId="0" xfId="3" applyFont="1" applyFill="1" applyBorder="1" applyAlignment="1">
      <alignment vertical="center" wrapText="1"/>
    </xf>
    <xf numFmtId="0" fontId="13" fillId="13" borderId="0" xfId="0" applyFont="1" applyFill="1" applyBorder="1" applyAlignment="1">
      <alignment vertical="center"/>
    </xf>
    <xf numFmtId="0" fontId="0" fillId="13" borderId="0" xfId="0" applyFill="1" applyBorder="1" applyAlignment="1"/>
    <xf numFmtId="0" fontId="3" fillId="13" borderId="0" xfId="0" applyFont="1" applyFill="1" applyBorder="1"/>
    <xf numFmtId="0" fontId="31" fillId="13" borderId="0" xfId="3" applyFont="1" applyFill="1" applyBorder="1" applyAlignment="1"/>
    <xf numFmtId="0" fontId="44" fillId="13" borderId="0" xfId="3" applyFont="1" applyFill="1" applyBorder="1" applyAlignment="1">
      <alignment vertical="center"/>
    </xf>
    <xf numFmtId="0" fontId="3" fillId="13" borderId="0" xfId="0" applyFont="1" applyFill="1"/>
    <xf numFmtId="0" fontId="2" fillId="0" borderId="26" xfId="0" applyFont="1" applyBorder="1" applyAlignment="1">
      <alignment horizontal="left" vertical="center"/>
    </xf>
    <xf numFmtId="0" fontId="0" fillId="0" borderId="26" xfId="0" applyBorder="1"/>
    <xf numFmtId="0" fontId="0" fillId="0" borderId="26" xfId="0" applyBorder="1" applyAlignment="1">
      <alignment vertical="center"/>
    </xf>
    <xf numFmtId="0" fontId="29" fillId="0" borderId="26" xfId="0" applyFont="1" applyBorder="1" applyAlignment="1">
      <alignment horizontal="left" vertical="center"/>
    </xf>
    <xf numFmtId="0" fontId="23" fillId="0" borderId="26" xfId="0" applyFont="1" applyBorder="1" applyAlignment="1">
      <alignment horizontal="left" vertical="center" wrapText="1"/>
    </xf>
    <xf numFmtId="0" fontId="30" fillId="0" borderId="26" xfId="0" applyFont="1" applyBorder="1" applyAlignment="1">
      <alignment horizontal="left" vertical="center"/>
    </xf>
    <xf numFmtId="0" fontId="0" fillId="0" borderId="26" xfId="0" applyBorder="1" applyAlignment="1">
      <alignment horizontal="left" vertical="center"/>
    </xf>
    <xf numFmtId="49" fontId="2" fillId="0" borderId="26" xfId="0" applyNumberFormat="1" applyFont="1" applyBorder="1" applyAlignment="1">
      <alignment horizontal="left" vertical="center"/>
    </xf>
    <xf numFmtId="49" fontId="0" fillId="0" borderId="26" xfId="0" applyNumberFormat="1" applyBorder="1" applyAlignment="1">
      <alignment horizontal="left" vertical="center"/>
    </xf>
    <xf numFmtId="164" fontId="0" fillId="0" borderId="0" xfId="0" applyNumberFormat="1" applyFill="1" applyBorder="1" applyAlignment="1">
      <alignment vertical="center"/>
    </xf>
    <xf numFmtId="0" fontId="0" fillId="0" borderId="0" xfId="0" applyFill="1" applyBorder="1" applyAlignment="1" applyProtection="1">
      <alignment vertical="center"/>
    </xf>
    <xf numFmtId="164" fontId="0" fillId="0" borderId="0" xfId="0" applyNumberFormat="1" applyFont="1"/>
    <xf numFmtId="9" fontId="3" fillId="2" borderId="0" xfId="0" applyNumberFormat="1" applyFont="1" applyFill="1"/>
    <xf numFmtId="0" fontId="3" fillId="10" borderId="0" xfId="2" applyFont="1"/>
    <xf numFmtId="0" fontId="3" fillId="0" borderId="0" xfId="0" applyFont="1"/>
    <xf numFmtId="164" fontId="3" fillId="10" borderId="0" xfId="2" applyNumberFormat="1" applyFont="1"/>
    <xf numFmtId="164" fontId="3" fillId="0" borderId="0" xfId="0" applyNumberFormat="1" applyFont="1"/>
    <xf numFmtId="164" fontId="3" fillId="2" borderId="0" xfId="2" applyNumberFormat="1" applyFont="1" applyFill="1"/>
    <xf numFmtId="164" fontId="3" fillId="2" borderId="0" xfId="0" applyNumberFormat="1" applyFont="1" applyFill="1"/>
    <xf numFmtId="165" fontId="0" fillId="3" borderId="0" xfId="0" applyNumberFormat="1" applyFill="1"/>
    <xf numFmtId="165" fontId="0" fillId="0" borderId="0" xfId="0" applyNumberFormat="1"/>
    <xf numFmtId="9" fontId="0" fillId="3" borderId="0" xfId="0" applyNumberFormat="1" applyFill="1"/>
    <xf numFmtId="9" fontId="0" fillId="0" borderId="0" xfId="0" applyNumberFormat="1"/>
    <xf numFmtId="165" fontId="0" fillId="2" borderId="0" xfId="0" applyNumberFormat="1" applyFill="1"/>
    <xf numFmtId="9" fontId="0" fillId="2" borderId="0" xfId="0" applyNumberFormat="1" applyFill="1"/>
    <xf numFmtId="164" fontId="0" fillId="0" borderId="0" xfId="0" applyNumberFormat="1" applyFill="1"/>
    <xf numFmtId="0" fontId="0" fillId="15" borderId="0" xfId="0" applyFill="1" applyAlignment="1">
      <alignment horizontal="left" vertical="center"/>
    </xf>
    <xf numFmtId="0" fontId="0" fillId="15" borderId="0" xfId="0" applyFill="1" applyAlignment="1">
      <alignment horizontal="center" vertical="center"/>
    </xf>
    <xf numFmtId="2" fontId="0" fillId="15" borderId="0" xfId="0" applyNumberFormat="1" applyFill="1" applyAlignment="1">
      <alignment horizontal="center" vertical="center"/>
    </xf>
    <xf numFmtId="0" fontId="0" fillId="15" borderId="0" xfId="0" applyFill="1" applyAlignment="1">
      <alignment vertical="center"/>
    </xf>
    <xf numFmtId="0" fontId="0" fillId="15" borderId="1" xfId="0" applyFill="1" applyBorder="1" applyAlignment="1">
      <alignment vertical="center"/>
    </xf>
    <xf numFmtId="0" fontId="0" fillId="15" borderId="1" xfId="0" applyFill="1" applyBorder="1" applyAlignment="1">
      <alignment horizontal="center" vertical="center"/>
    </xf>
    <xf numFmtId="0" fontId="0" fillId="15" borderId="0" xfId="0" applyNumberFormat="1" applyFill="1" applyAlignment="1">
      <alignment horizontal="center" vertical="center"/>
    </xf>
    <xf numFmtId="1" fontId="0" fillId="15" borderId="1" xfId="0" applyNumberFormat="1" applyFill="1" applyBorder="1" applyAlignment="1">
      <alignment horizontal="center" vertical="center"/>
    </xf>
    <xf numFmtId="2" fontId="0" fillId="15" borderId="9" xfId="0" applyNumberFormat="1" applyFill="1" applyBorder="1" applyAlignment="1">
      <alignment horizontal="center" vertical="center"/>
    </xf>
    <xf numFmtId="2" fontId="0" fillId="15" borderId="6" xfId="0" applyNumberFormat="1" applyFill="1" applyBorder="1" applyAlignment="1">
      <alignment horizontal="center" vertical="center"/>
    </xf>
    <xf numFmtId="2" fontId="0" fillId="15" borderId="1" xfId="0" applyNumberFormat="1" applyFill="1" applyBorder="1" applyAlignment="1">
      <alignment horizontal="center" vertical="center"/>
    </xf>
    <xf numFmtId="0" fontId="0" fillId="0" borderId="0" xfId="0" applyFont="1" applyFill="1" applyAlignment="1">
      <alignment vertical="center"/>
    </xf>
    <xf numFmtId="2" fontId="0" fillId="2" borderId="1" xfId="0" applyNumberFormat="1" applyFill="1" applyBorder="1" applyAlignment="1">
      <alignment horizontal="center" vertical="center"/>
    </xf>
    <xf numFmtId="0" fontId="0" fillId="2" borderId="0" xfId="0" applyNumberFormat="1" applyFill="1" applyAlignment="1">
      <alignment horizontal="center" vertical="center"/>
    </xf>
    <xf numFmtId="2" fontId="0" fillId="2" borderId="0" xfId="0" applyNumberFormat="1" applyFill="1" applyAlignment="1">
      <alignment horizontal="center" vertical="center"/>
    </xf>
    <xf numFmtId="1" fontId="0" fillId="2" borderId="1" xfId="0" applyNumberFormat="1" applyFill="1" applyBorder="1" applyAlignment="1">
      <alignment horizontal="center" vertical="center"/>
    </xf>
    <xf numFmtId="2" fontId="0" fillId="2" borderId="9" xfId="0" applyNumberFormat="1" applyFill="1" applyBorder="1" applyAlignment="1">
      <alignment horizontal="center" vertical="center"/>
    </xf>
    <xf numFmtId="2" fontId="0" fillId="2" borderId="6" xfId="0" applyNumberFormat="1" applyFill="1" applyBorder="1" applyAlignment="1">
      <alignment horizontal="center" vertical="center"/>
    </xf>
    <xf numFmtId="0" fontId="0" fillId="2" borderId="1" xfId="0" applyFill="1" applyBorder="1" applyAlignment="1">
      <alignment vertical="center"/>
    </xf>
    <xf numFmtId="0" fontId="0" fillId="2" borderId="1" xfId="0" applyFill="1" applyBorder="1" applyAlignment="1">
      <alignment horizontal="center" vertical="center"/>
    </xf>
    <xf numFmtId="0" fontId="0" fillId="0" borderId="1" xfId="0" applyBorder="1" applyAlignment="1">
      <alignment horizontal="left" vertical="center"/>
    </xf>
    <xf numFmtId="1" fontId="0" fillId="0" borderId="0" xfId="0" applyNumberFormat="1"/>
    <xf numFmtId="0" fontId="28" fillId="14" borderId="0" xfId="7" applyBorder="1" applyAlignment="1">
      <alignment vertical="center"/>
    </xf>
    <xf numFmtId="0" fontId="56" fillId="16" borderId="0" xfId="8" applyBorder="1" applyAlignment="1">
      <alignment vertical="center"/>
    </xf>
    <xf numFmtId="0" fontId="8" fillId="10" borderId="0" xfId="2" applyBorder="1" applyAlignment="1">
      <alignment vertical="center"/>
    </xf>
    <xf numFmtId="0" fontId="33" fillId="0" borderId="0" xfId="0" applyFont="1" applyFill="1" applyBorder="1"/>
    <xf numFmtId="0" fontId="57" fillId="17" borderId="14" xfId="9" applyFont="1" applyAlignment="1">
      <alignment vertical="center"/>
    </xf>
    <xf numFmtId="0" fontId="28" fillId="14" borderId="0" xfId="7" applyFont="1" applyBorder="1" applyAlignment="1">
      <alignment vertical="center"/>
    </xf>
    <xf numFmtId="0" fontId="12" fillId="17" borderId="14" xfId="9" applyFont="1" applyAlignment="1">
      <alignment horizontal="left" vertical="center"/>
    </xf>
    <xf numFmtId="0" fontId="12" fillId="17" borderId="14" xfId="9" applyFont="1" applyAlignment="1">
      <alignment horizontal="center" vertical="center"/>
    </xf>
    <xf numFmtId="0" fontId="12" fillId="16" borderId="0" xfId="8" applyFont="1" applyBorder="1" applyAlignment="1">
      <alignment horizontal="center" vertical="center"/>
    </xf>
    <xf numFmtId="0" fontId="12" fillId="0" borderId="0" xfId="0" applyFont="1" applyAlignment="1">
      <alignment horizontal="center" vertical="center"/>
    </xf>
    <xf numFmtId="0" fontId="12" fillId="0" borderId="0" xfId="0" applyFont="1" applyAlignment="1">
      <alignment horizontal="left" vertical="center"/>
    </xf>
    <xf numFmtId="0" fontId="31" fillId="13" borderId="14" xfId="9" applyFont="1" applyFill="1" applyAlignment="1">
      <alignment horizontal="center" vertical="center"/>
    </xf>
    <xf numFmtId="0" fontId="31" fillId="13" borderId="14" xfId="9" applyFont="1" applyFill="1" applyAlignment="1">
      <alignment horizontal="left" vertical="center"/>
    </xf>
    <xf numFmtId="0" fontId="31" fillId="13" borderId="0" xfId="8" applyFont="1" applyFill="1" applyBorder="1" applyAlignment="1">
      <alignment horizontal="center" vertical="center"/>
    </xf>
    <xf numFmtId="0" fontId="31" fillId="13" borderId="0" xfId="0" applyFont="1" applyFill="1" applyAlignment="1">
      <alignment horizontal="center" vertical="center"/>
    </xf>
    <xf numFmtId="0" fontId="31" fillId="13" borderId="0" xfId="0" applyFont="1" applyFill="1" applyAlignment="1">
      <alignment horizontal="left" vertical="center"/>
    </xf>
    <xf numFmtId="2" fontId="12" fillId="14" borderId="0" xfId="7" applyNumberFormat="1" applyFont="1" applyBorder="1" applyAlignment="1">
      <alignment horizontal="center" vertical="center"/>
    </xf>
    <xf numFmtId="2" fontId="31" fillId="13" borderId="0" xfId="7" applyNumberFormat="1" applyFont="1" applyFill="1" applyBorder="1" applyAlignment="1">
      <alignment horizontal="center" vertical="center"/>
    </xf>
    <xf numFmtId="2" fontId="12" fillId="0" borderId="0" xfId="0" applyNumberFormat="1" applyFont="1" applyBorder="1" applyAlignment="1">
      <alignment horizontal="center" vertical="center"/>
    </xf>
    <xf numFmtId="0" fontId="12" fillId="0" borderId="0" xfId="0" applyFont="1" applyBorder="1" applyAlignment="1">
      <alignment horizontal="center" vertical="center"/>
    </xf>
    <xf numFmtId="2" fontId="31" fillId="13" borderId="0" xfId="0" applyNumberFormat="1" applyFont="1" applyFill="1" applyBorder="1" applyAlignment="1">
      <alignment horizontal="center" vertical="center"/>
    </xf>
    <xf numFmtId="0" fontId="31" fillId="13" borderId="0" xfId="0" applyFont="1" applyFill="1" applyBorder="1" applyAlignment="1">
      <alignment horizontal="center" vertical="center"/>
    </xf>
    <xf numFmtId="2" fontId="12" fillId="10" borderId="0" xfId="2" applyNumberFormat="1" applyFont="1" applyBorder="1" applyAlignment="1">
      <alignment horizontal="center" vertical="center"/>
    </xf>
    <xf numFmtId="2" fontId="31" fillId="13" borderId="0" xfId="2" applyNumberFormat="1" applyFont="1" applyFill="1" applyBorder="1" applyAlignment="1">
      <alignment horizontal="center" vertical="center"/>
    </xf>
    <xf numFmtId="0" fontId="6" fillId="7" borderId="0" xfId="10" applyFill="1" applyAlignment="1"/>
    <xf numFmtId="0" fontId="6" fillId="7" borderId="0" xfId="10" applyFill="1"/>
    <xf numFmtId="0" fontId="0" fillId="0" borderId="5" xfId="0" applyBorder="1" applyAlignment="1">
      <alignment horizontal="left" vertical="center"/>
    </xf>
    <xf numFmtId="2" fontId="12" fillId="19" borderId="27" xfId="11" applyNumberFormat="1" applyFont="1" applyAlignment="1">
      <alignment horizontal="center" vertical="center"/>
    </xf>
    <xf numFmtId="0" fontId="58" fillId="19" borderId="27" xfId="11" applyFont="1" applyAlignment="1">
      <alignment vertical="center"/>
    </xf>
    <xf numFmtId="0" fontId="23" fillId="13" borderId="0" xfId="0" applyFont="1" applyFill="1" applyBorder="1" applyAlignment="1">
      <alignment horizontal="left" vertical="center" wrapText="1"/>
    </xf>
    <xf numFmtId="0" fontId="17" fillId="13" borderId="0" xfId="0" applyFont="1" applyFill="1" applyBorder="1" applyAlignment="1">
      <alignment horizontal="left" vertical="center"/>
    </xf>
    <xf numFmtId="0" fontId="45" fillId="13" borderId="13" xfId="1" applyFont="1" applyFill="1" applyAlignment="1">
      <alignment horizontal="center" vertical="center"/>
    </xf>
    <xf numFmtId="0" fontId="25" fillId="13" borderId="0" xfId="0" applyFont="1" applyFill="1" applyBorder="1" applyAlignment="1">
      <alignment horizontal="center" vertical="center"/>
    </xf>
    <xf numFmtId="49" fontId="0" fillId="13" borderId="0" xfId="0" applyNumberFormat="1" applyFill="1" applyBorder="1" applyAlignment="1">
      <alignment horizontal="left" vertical="center"/>
    </xf>
    <xf numFmtId="0" fontId="43" fillId="13" borderId="0" xfId="1" applyFont="1" applyFill="1" applyBorder="1" applyAlignment="1">
      <alignment horizontal="center" vertical="center"/>
    </xf>
    <xf numFmtId="0" fontId="46" fillId="13" borderId="0" xfId="1" applyFont="1" applyFill="1" applyBorder="1" applyAlignment="1">
      <alignment horizontal="center" vertical="center"/>
    </xf>
    <xf numFmtId="0" fontId="34" fillId="13" borderId="0" xfId="2" applyFont="1" applyFill="1" applyAlignment="1">
      <alignment horizontal="center" vertical="center"/>
    </xf>
    <xf numFmtId="0" fontId="44" fillId="13" borderId="0" xfId="5" applyFont="1" applyFill="1" applyBorder="1" applyAlignment="1">
      <alignment horizontal="center" vertical="center"/>
    </xf>
    <xf numFmtId="0" fontId="47" fillId="13" borderId="0" xfId="4" applyFont="1" applyFill="1" applyBorder="1" applyAlignment="1">
      <alignment horizontal="center" vertical="center"/>
    </xf>
    <xf numFmtId="0" fontId="43" fillId="13" borderId="0" xfId="0" applyFont="1" applyFill="1" applyBorder="1" applyAlignment="1">
      <alignment horizontal="center" vertical="center"/>
    </xf>
    <xf numFmtId="0" fontId="49" fillId="13" borderId="0" xfId="3" applyFont="1" applyFill="1" applyBorder="1" applyAlignment="1">
      <alignment horizontal="center" vertical="center"/>
    </xf>
    <xf numFmtId="0" fontId="48" fillId="13" borderId="0" xfId="0" applyFont="1" applyFill="1" applyAlignment="1">
      <alignment horizontal="center"/>
    </xf>
    <xf numFmtId="0" fontId="50" fillId="13" borderId="0" xfId="1" applyFont="1" applyFill="1" applyBorder="1" applyAlignment="1">
      <alignment horizontal="center" vertical="center"/>
    </xf>
    <xf numFmtId="0" fontId="25" fillId="13" borderId="17" xfId="0" applyFont="1" applyFill="1" applyBorder="1" applyAlignment="1">
      <alignment horizontal="center" vertical="center"/>
    </xf>
    <xf numFmtId="0" fontId="31" fillId="13" borderId="16" xfId="3" applyFont="1" applyFill="1" applyBorder="1" applyAlignment="1">
      <alignment horizontal="center" vertical="center" wrapText="1"/>
    </xf>
    <xf numFmtId="0" fontId="51" fillId="14" borderId="0" xfId="7" applyFont="1" applyAlignment="1">
      <alignment horizontal="center" vertical="center"/>
    </xf>
    <xf numFmtId="0" fontId="25" fillId="13" borderId="0" xfId="0" applyFont="1" applyFill="1" applyBorder="1" applyAlignment="1">
      <alignment horizontal="left" vertical="center"/>
    </xf>
    <xf numFmtId="0" fontId="29" fillId="0" borderId="26" xfId="0" applyFont="1" applyBorder="1" applyAlignment="1">
      <alignment horizontal="left" vertical="center"/>
    </xf>
    <xf numFmtId="49" fontId="0" fillId="0" borderId="26" xfId="0" applyNumberFormat="1" applyBorder="1" applyAlignment="1">
      <alignment horizontal="left" vertical="center"/>
    </xf>
    <xf numFmtId="0" fontId="22" fillId="0" borderId="26" xfId="0" applyFont="1" applyBorder="1" applyAlignment="1">
      <alignment horizontal="left" vertical="center"/>
    </xf>
    <xf numFmtId="0" fontId="29" fillId="0" borderId="26" xfId="0" applyFont="1" applyBorder="1" applyAlignment="1">
      <alignment horizontal="left" vertical="center" wrapText="1"/>
    </xf>
    <xf numFmtId="0" fontId="23" fillId="0" borderId="19" xfId="0" applyFont="1" applyBorder="1" applyAlignment="1">
      <alignment horizontal="left" vertical="center" wrapText="1"/>
    </xf>
    <xf numFmtId="0" fontId="24" fillId="0" borderId="19" xfId="0" applyFont="1" applyBorder="1" applyAlignment="1">
      <alignment horizontal="left" vertical="center" wrapText="1"/>
    </xf>
    <xf numFmtId="0" fontId="2" fillId="0" borderId="26" xfId="0" applyFont="1" applyBorder="1" applyAlignment="1">
      <alignment horizontal="left" vertical="center"/>
    </xf>
    <xf numFmtId="0" fontId="23" fillId="0" borderId="20" xfId="0" applyFont="1" applyBorder="1" applyAlignment="1">
      <alignment horizontal="left" vertical="center"/>
    </xf>
    <xf numFmtId="0" fontId="23" fillId="0" borderId="21" xfId="0" applyFont="1" applyBorder="1" applyAlignment="1">
      <alignment horizontal="left" vertical="center"/>
    </xf>
    <xf numFmtId="0" fontId="23" fillId="0" borderId="22" xfId="0" applyFont="1" applyBorder="1" applyAlignment="1">
      <alignment horizontal="left" vertical="center"/>
    </xf>
    <xf numFmtId="0" fontId="17" fillId="0" borderId="19" xfId="0" applyFont="1" applyBorder="1" applyAlignment="1">
      <alignment horizontal="left" vertical="center"/>
    </xf>
    <xf numFmtId="0" fontId="18" fillId="10" borderId="20" xfId="2" applyFont="1" applyBorder="1" applyAlignment="1">
      <alignment horizontal="center" vertical="center"/>
    </xf>
    <xf numFmtId="0" fontId="18" fillId="10" borderId="21" xfId="2" applyFont="1" applyBorder="1" applyAlignment="1">
      <alignment horizontal="center" vertical="center"/>
    </xf>
    <xf numFmtId="0" fontId="18" fillId="10" borderId="22" xfId="2" applyFont="1" applyBorder="1" applyAlignment="1">
      <alignment horizontal="center" vertical="center"/>
    </xf>
    <xf numFmtId="0" fontId="25" fillId="13" borderId="20" xfId="0" applyFont="1" applyFill="1" applyBorder="1" applyAlignment="1">
      <alignment horizontal="center" vertical="center"/>
    </xf>
    <xf numFmtId="0" fontId="25" fillId="13" borderId="21" xfId="0" applyFont="1" applyFill="1" applyBorder="1" applyAlignment="1">
      <alignment horizontal="center" vertical="center"/>
    </xf>
    <xf numFmtId="0" fontId="25" fillId="13" borderId="22" xfId="0" applyFont="1" applyFill="1" applyBorder="1" applyAlignment="1">
      <alignment horizontal="center" vertical="center"/>
    </xf>
    <xf numFmtId="0" fontId="2" fillId="0" borderId="0" xfId="0" applyFont="1" applyAlignment="1">
      <alignment horizontal="left" vertical="center"/>
    </xf>
    <xf numFmtId="0" fontId="5" fillId="0" borderId="0" xfId="0" applyFont="1" applyAlignment="1">
      <alignment horizontal="center" vertical="center"/>
    </xf>
    <xf numFmtId="0" fontId="5" fillId="0" borderId="2" xfId="0" applyFont="1" applyBorder="1" applyAlignment="1">
      <alignment horizontal="center" vertical="center"/>
    </xf>
    <xf numFmtId="0" fontId="2" fillId="0" borderId="2" xfId="0" applyFont="1" applyBorder="1" applyAlignment="1">
      <alignment horizontal="left" vertical="center"/>
    </xf>
    <xf numFmtId="0" fontId="52" fillId="0" borderId="0" xfId="0" applyFont="1" applyAlignment="1">
      <alignment horizontal="center" vertical="center"/>
    </xf>
    <xf numFmtId="0" fontId="2" fillId="0" borderId="0" xfId="0" applyFont="1" applyFill="1" applyBorder="1" applyAlignment="1">
      <alignment horizontal="left" vertical="center"/>
    </xf>
    <xf numFmtId="0" fontId="5" fillId="0" borderId="0" xfId="0" applyFont="1" applyFill="1" applyBorder="1" applyAlignment="1">
      <alignment horizontal="center" vertical="center"/>
    </xf>
    <xf numFmtId="0" fontId="54" fillId="0" borderId="0" xfId="0" applyFont="1" applyAlignment="1">
      <alignment horizontal="center" vertical="center"/>
    </xf>
    <xf numFmtId="0" fontId="53" fillId="0" borderId="0" xfId="0" applyFont="1" applyAlignment="1">
      <alignment horizontal="center" vertical="center" wrapText="1"/>
    </xf>
    <xf numFmtId="0" fontId="55" fillId="0" borderId="0" xfId="0" applyFont="1" applyAlignment="1">
      <alignment horizontal="center" vertical="center" wrapText="1"/>
    </xf>
  </cellXfs>
  <cellStyles count="12">
    <cellStyle name="40% - Accent1" xfId="5" builtinId="31"/>
    <cellStyle name="40% - Accent3" xfId="10" builtinId="39"/>
    <cellStyle name="Bad" xfId="7" builtinId="27"/>
    <cellStyle name="Calculation" xfId="4" builtinId="22"/>
    <cellStyle name="Good" xfId="2" builtinId="26"/>
    <cellStyle name="Heading 1" xfId="1" builtinId="16"/>
    <cellStyle name="Input" xfId="9" builtinId="20"/>
    <cellStyle name="Neutral" xfId="8" builtinId="28"/>
    <cellStyle name="Normal" xfId="0" builtinId="0"/>
    <cellStyle name="Note" xfId="11" builtinId="10"/>
    <cellStyle name="Output" xfId="3" builtinId="21"/>
    <cellStyle name="Start Text" xfId="6" xr:uid="{152A6334-C940-4BB3-948E-ABD9459F9CB6}"/>
  </cellStyles>
  <dxfs count="580">
    <dxf>
      <font>
        <color auto="1"/>
      </font>
      <numFmt numFmtId="164" formatCode="&quot;$&quot;#,##0.00"/>
    </dxf>
    <dxf>
      <numFmt numFmtId="164" formatCode="&quot;$&quot;#,##0.00"/>
    </dxf>
    <dxf>
      <numFmt numFmtId="165" formatCode="0.0%"/>
    </dxf>
    <dxf>
      <numFmt numFmtId="164" formatCode="&quot;$&quot;#,##0.00"/>
    </dxf>
    <dxf>
      <numFmt numFmtId="13" formatCode="0%"/>
    </dxf>
    <dxf>
      <numFmt numFmtId="164" formatCode="&quot;$&quot;#,##0.00"/>
    </dxf>
    <dxf>
      <numFmt numFmtId="165" formatCode="0.0%"/>
    </dxf>
    <dxf>
      <font>
        <color auto="1"/>
      </font>
      <numFmt numFmtId="164" formatCode="&quot;$&quot;#,##0.00"/>
    </dxf>
    <dxf>
      <alignment horizontal="general" vertical="center" textRotation="0" wrapText="0" indent="0" justifyLastLine="0" shrinkToFit="0" readingOrder="0"/>
    </dxf>
    <dxf>
      <alignment horizontal="center" vertical="center" textRotation="0" wrapText="0" indent="0" justifyLastLine="0" shrinkToFit="0" readingOrder="0"/>
    </dxf>
    <dxf>
      <font>
        <strike val="0"/>
        <outline val="0"/>
        <shadow val="0"/>
        <u val="none"/>
        <vertAlign val="baseline"/>
        <sz val="11"/>
        <color auto="1"/>
        <name val="Calibri"/>
        <family val="2"/>
        <scheme val="minor"/>
      </font>
      <numFmt numFmtId="164" formatCode="&quot;$&quot;#,##0.00"/>
    </dxf>
    <dxf>
      <numFmt numFmtId="164" formatCode="&quot;$&quot;#,##0.00"/>
    </dxf>
    <dxf>
      <font>
        <b val="0"/>
        <i val="0"/>
        <strike val="0"/>
        <condense val="0"/>
        <extend val="0"/>
        <outline val="0"/>
        <shadow val="0"/>
        <u val="none"/>
        <vertAlign val="baseline"/>
        <sz val="11"/>
        <color auto="1"/>
        <name val="Calibri"/>
        <family val="2"/>
        <scheme val="minor"/>
      </font>
      <numFmt numFmtId="13" formatCode="0%"/>
      <fill>
        <patternFill patternType="none">
          <fgColor indexed="64"/>
          <bgColor indexed="65"/>
        </patternFill>
      </fill>
    </dxf>
    <dxf>
      <numFmt numFmtId="164" formatCode="&quot;$&quot;#,##0.00"/>
    </dxf>
    <dxf>
      <font>
        <b val="0"/>
        <i val="0"/>
        <strike val="0"/>
        <condense val="0"/>
        <extend val="0"/>
        <outline val="0"/>
        <shadow val="0"/>
        <u val="none"/>
        <vertAlign val="baseline"/>
        <sz val="11"/>
        <color auto="1"/>
        <name val="Calibri"/>
        <family val="2"/>
        <scheme val="minor"/>
      </font>
      <numFmt numFmtId="13" formatCode="0%"/>
      <fill>
        <patternFill patternType="none">
          <fgColor indexed="64"/>
          <bgColor indexed="65"/>
        </patternFill>
      </fill>
    </dxf>
    <dxf>
      <numFmt numFmtId="164" formatCode="&quot;$&quot;#,##0.00"/>
    </dxf>
    <dxf>
      <numFmt numFmtId="164" formatCode="&quot;$&quot;#,##0.00"/>
    </dxf>
    <dxf>
      <alignment horizontal="general" vertical="center" textRotation="0" wrapText="0" indent="0" justifyLastLine="0" shrinkToFit="0" readingOrder="0"/>
    </dxf>
    <dxf>
      <alignment horizontal="center" vertical="center" textRotation="0" wrapText="0" indent="0" justifyLastLine="0" shrinkToFit="0" readingOrder="0"/>
    </dxf>
    <dxf>
      <numFmt numFmtId="164" formatCode="&quot;$&quot;#,##0.00"/>
    </dxf>
    <dxf>
      <alignment horizontal="general"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0" formatCode="General"/>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0" formatCode="General"/>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0" formatCode="General"/>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0" formatCode="General"/>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0" formatCode="General"/>
      <alignment horizontal="center" vertical="center" textRotation="0" wrapText="0" indent="0" justifyLastLine="0" shrinkToFit="0" readingOrder="0"/>
    </dxf>
    <dxf>
      <font>
        <b/>
        <i val="0"/>
        <strike val="0"/>
        <condense val="0"/>
        <extend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i val="0"/>
        <strike val="0"/>
        <condense val="0"/>
        <extend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i val="0"/>
        <strike val="0"/>
        <condense val="0"/>
        <extend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i val="0"/>
        <strike val="0"/>
        <condense val="0"/>
        <extend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i val="0"/>
        <strike val="0"/>
        <condense val="0"/>
        <extend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numFmt numFmtId="2" formatCode="0.00"/>
      <alignment horizontal="center" vertical="center" textRotation="0" wrapText="0" indent="0" justifyLastLine="0" shrinkToFit="0" readingOrder="0"/>
    </dxf>
    <dxf>
      <font>
        <b/>
        <strike val="0"/>
        <outline val="0"/>
        <shadow val="0"/>
        <u val="none"/>
        <vertAlign val="baseline"/>
        <sz val="11"/>
        <color auto="1"/>
        <name val="Calibri"/>
        <family val="2"/>
        <scheme val="minor"/>
      </font>
      <alignment horizontal="left" vertical="center" textRotation="0" wrapText="0" indent="0" justifyLastLine="0" shrinkToFit="0" readingOrder="0"/>
    </dxf>
    <dxf>
      <font>
        <b/>
        <strike val="0"/>
        <outline val="0"/>
        <shadow val="0"/>
        <u val="none"/>
        <vertAlign val="baseline"/>
        <sz val="11"/>
        <color auto="1"/>
        <name val="Calibri"/>
        <family val="2"/>
        <scheme val="minor"/>
      </font>
      <alignment horizontal="center" vertical="center" textRotation="0" wrapText="0" indent="0" justifyLastLine="0" shrinkToFit="0" readingOrder="0"/>
    </dxf>
    <dxf>
      <font>
        <b/>
        <strike val="0"/>
        <outline val="0"/>
        <shadow val="0"/>
        <u val="none"/>
        <vertAlign val="baseline"/>
        <sz val="11"/>
        <color auto="1"/>
        <name val="Calibri"/>
        <family val="2"/>
        <scheme val="minor"/>
      </font>
      <alignment horizontal="general"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center" vertical="center" textRotation="0" wrapText="0" indent="0" justifyLastLine="0" shrinkToFit="0" readingOrder="0"/>
      <border diagonalUp="0" diagonalDown="0">
        <left/>
        <right style="medium">
          <color theme="8"/>
        </right>
        <top/>
        <bottom/>
        <vertical/>
        <horizontal/>
      </border>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left"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center" vertical="center" textRotation="0" wrapText="0" indent="0" justifyLastLine="0" shrinkToFit="0" readingOrder="0"/>
      <border diagonalUp="0" diagonalDown="0">
        <left/>
        <right style="medium">
          <color theme="8"/>
        </right>
        <top/>
        <bottom/>
        <vertical/>
        <horizontal/>
      </border>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left"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center" vertical="center" textRotation="0" wrapText="0" indent="0" justifyLastLine="0" shrinkToFit="0" readingOrder="0"/>
      <border diagonalUp="0" diagonalDown="0">
        <left/>
        <right style="medium">
          <color theme="8"/>
        </right>
        <top/>
        <bottom/>
        <vertical/>
        <horizontal/>
      </border>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center" vertical="center" textRotation="0" wrapText="0" indent="0" justifyLastLine="0" shrinkToFit="0" readingOrder="0"/>
      <border diagonalUp="0" diagonalDown="0">
        <left/>
        <right style="medium">
          <color theme="8"/>
        </right>
        <top/>
        <bottom/>
        <vertical/>
        <horizontal/>
      </border>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left"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center" vertical="center" textRotation="0" wrapText="0" indent="0" justifyLastLine="0" shrinkToFit="0" readingOrder="0"/>
      <border diagonalUp="0" diagonalDown="0">
        <left/>
        <right style="medium">
          <color theme="8"/>
        </right>
        <top/>
        <bottom/>
        <vertical/>
        <horizontal/>
      </border>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left"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center" vertical="center" textRotation="0" wrapText="0" indent="0" justifyLastLine="0" shrinkToFit="0" readingOrder="0"/>
      <border diagonalUp="0" diagonalDown="0">
        <left/>
        <right style="medium">
          <color theme="8"/>
        </right>
        <top/>
        <bottom/>
        <vertical/>
        <horizontal/>
      </border>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center" vertical="center" textRotation="0" wrapText="0" indent="0" justifyLastLine="0" shrinkToFit="0" readingOrder="0"/>
      <border diagonalUp="0" diagonalDown="0">
        <left/>
        <right style="medium">
          <color theme="8"/>
        </right>
        <top/>
        <bottom/>
        <vertical/>
        <horizontal/>
      </border>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center" vertical="center" textRotation="0" wrapText="0" indent="0" justifyLastLine="0" shrinkToFit="0" readingOrder="0"/>
      <border diagonalUp="0" diagonalDown="0">
        <left/>
        <right style="medium">
          <color theme="8"/>
        </right>
        <top/>
        <bottom/>
        <vertical/>
        <horizontal/>
      </border>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numFmt numFmtId="0" formatCode="General"/>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left"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left/>
        <right style="medium">
          <color theme="8"/>
        </right>
        <top/>
        <bottom/>
        <vertical/>
        <horizontal/>
      </border>
    </dxf>
    <dxf>
      <numFmt numFmtId="2" formatCode="0.00"/>
      <alignment horizontal="center" vertical="center" textRotation="0" wrapText="0" indent="0" justifyLastLine="0" shrinkToFit="0" readingOrder="0"/>
      <border diagonalUp="0" diagonalDown="0">
        <left style="medium">
          <color theme="8"/>
        </left>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border diagonalUp="0" diagonalDown="0">
        <right style="medium">
          <color theme="8"/>
        </right>
        <top/>
        <bottom/>
        <vertical/>
        <horizontal/>
      </border>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horizontal="center" vertical="center" textRotation="0" wrapText="0" indent="0" justifyLastLine="0" shrinkToFit="0" readingOrder="0"/>
      <border diagonalUp="0" diagonalDown="0">
        <left/>
        <right style="medium">
          <color theme="8"/>
        </right>
        <top/>
        <bottom/>
        <vertical/>
        <horizontal/>
      </border>
    </dxf>
    <dxf>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numFmt numFmtId="0" formatCode="General"/>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numFmt numFmtId="2" formatCode="0.00"/>
      <alignment horizontal="center"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vertical="center" textRotation="0" wrapText="0" indent="0" justifyLastLine="0" shrinkToFit="0" readingOrder="0"/>
    </dxf>
    <dxf>
      <alignment horizontal="general" vertical="center" textRotation="0" wrapText="0" indent="0" justifyLastLine="0" shrinkToFit="0" readingOrder="0"/>
    </dxf>
    <dxf>
      <alignment horizontal="center" vertical="center" textRotation="0" wrapText="0" indent="0" justifyLastLine="0" shrinkToFit="0" readingOrder="0"/>
    </dxf>
    <dxf>
      <alignment horizontal="left" vertical="center" textRotation="0" wrapText="0" indent="0" justifyLastLine="0" shrinkToFit="0" readingOrder="0"/>
    </dxf>
    <dxf>
      <numFmt numFmtId="2" formatCode="0.00"/>
      <alignment horizontal="right" vertical="center" textRotation="0" wrapText="0" indent="0" justifyLastLine="0" shrinkToFit="0" readingOrder="0"/>
    </dxf>
    <dxf>
      <alignment horizontal="left"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alignment horizontal="center" vertical="center" textRotation="0" wrapText="0" indent="0" justifyLastLine="0" shrinkToFit="0" readingOrder="0"/>
    </dxf>
    <dxf>
      <alignment vertical="center" textRotation="0" wrapText="0" indent="0" justifyLastLine="0" shrinkToFit="0" readingOrder="0"/>
    </dxf>
    <dxf>
      <font>
        <strike val="0"/>
        <outline val="0"/>
        <shadow val="0"/>
        <u val="none"/>
        <vertAlign val="baseline"/>
        <sz val="11"/>
        <color theme="0"/>
        <name val="Calibri"/>
        <family val="2"/>
        <scheme val="minor"/>
      </font>
      <fill>
        <patternFill patternType="solid">
          <fgColor indexed="64"/>
          <bgColor theme="0"/>
        </patternFill>
      </fill>
    </dxf>
    <dxf>
      <font>
        <strike val="0"/>
        <outline val="0"/>
        <shadow val="0"/>
        <u val="none"/>
        <vertAlign val="baseline"/>
        <sz val="11"/>
        <color theme="0"/>
        <name val="Calibri"/>
        <family val="2"/>
        <scheme val="minor"/>
      </font>
      <fill>
        <patternFill patternType="solid">
          <fgColor indexed="64"/>
          <bgColor theme="0"/>
        </patternFill>
      </fill>
    </dxf>
    <dxf>
      <font>
        <strike val="0"/>
        <outline val="0"/>
        <shadow val="0"/>
        <u val="none"/>
        <vertAlign val="baseline"/>
        <sz val="11"/>
        <color theme="0"/>
        <name val="Calibri"/>
        <family val="2"/>
        <scheme val="minor"/>
      </font>
      <fill>
        <patternFill patternType="solid">
          <fgColor indexed="64"/>
          <bgColor theme="0"/>
        </patternFill>
      </fill>
    </dxf>
    <dxf>
      <font>
        <strike val="0"/>
        <outline val="0"/>
        <shadow val="0"/>
        <u val="none"/>
        <vertAlign val="baseline"/>
        <sz val="11"/>
        <color auto="1"/>
        <name val="Calibri"/>
        <family val="2"/>
        <scheme val="minor"/>
      </font>
      <fill>
        <patternFill patternType="solid">
          <fgColor indexed="64"/>
          <bgColor theme="1"/>
        </patternFill>
      </fill>
    </dxf>
    <dxf>
      <font>
        <strike val="0"/>
        <outline val="0"/>
        <shadow val="0"/>
        <u val="none"/>
        <vertAlign val="baseline"/>
        <sz val="11"/>
        <color auto="1"/>
        <name val="Calibri"/>
        <family val="2"/>
        <scheme val="minor"/>
      </font>
      <fill>
        <patternFill patternType="solid">
          <fgColor indexed="64"/>
          <bgColor theme="1"/>
        </patternFill>
      </fill>
    </dxf>
    <dxf>
      <font>
        <strike val="0"/>
        <outline val="0"/>
        <shadow val="0"/>
        <u val="none"/>
        <vertAlign val="baseline"/>
        <sz val="11"/>
        <color auto="1"/>
        <name val="Calibri"/>
        <family val="2"/>
        <scheme val="minor"/>
      </font>
      <fill>
        <patternFill patternType="solid">
          <fgColor indexed="64"/>
          <bgColor theme="1"/>
        </patternFill>
      </fill>
    </dxf>
    <dxf>
      <fill>
        <patternFill patternType="solid">
          <fgColor indexed="64"/>
          <bgColor theme="1"/>
        </patternFill>
      </fill>
    </dxf>
    <dxf>
      <fill>
        <patternFill patternType="solid">
          <fgColor indexed="64"/>
          <bgColor theme="1"/>
        </patternFill>
      </fill>
    </dxf>
    <dxf>
      <font>
        <strike val="0"/>
        <outline val="0"/>
        <shadow val="0"/>
        <u val="none"/>
        <vertAlign val="baseline"/>
        <sz val="11"/>
        <color auto="1"/>
        <name val="Calibri"/>
        <family val="2"/>
        <scheme val="minor"/>
      </font>
      <fill>
        <patternFill patternType="solid">
          <fgColor indexed="64"/>
          <bgColor theme="1"/>
        </patternFill>
      </fill>
    </dxf>
    <dxf>
      <fill>
        <patternFill>
          <bgColor theme="9" tint="0.59996337778862885"/>
        </patternFill>
      </fill>
    </dxf>
  </dxfs>
  <tableStyles count="1" defaultTableStyle="TableStyleMedium2" defaultPivotStyle="PivotStyleLight16">
    <tableStyle name="Slicer Style 1" pivot="0" table="0" count="1" xr9:uid="{1200BBA8-325C-464A-BB58-3B6B55ACFF4B}">
      <tableStyleElement type="wholeTable" dxfId="579"/>
    </tableStyle>
  </tableStyles>
  <colors>
    <mruColors>
      <color rgb="FFFFD5D5"/>
      <color rgb="FFE7D1B1"/>
      <color rgb="FF90E7F0"/>
      <color rgb="FFFF8989"/>
      <color rgb="FF5B9BD5"/>
      <color rgb="FFC6EFCE"/>
      <color rgb="FFFF3131"/>
      <color rgb="FFC00000"/>
      <color rgb="FFFFFFB9"/>
      <color rgb="FFB7F5FF"/>
    </mruColors>
  </color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17" Type="http://schemas.microsoft.com/office/2007/relationships/slicerCache" Target="slicerCaches/slicerCache102.xml"/><Relationship Id="rId21" Type="http://schemas.microsoft.com/office/2007/relationships/slicerCache" Target="slicerCaches/slicerCache6.xml"/><Relationship Id="rId42" Type="http://schemas.microsoft.com/office/2007/relationships/slicerCache" Target="slicerCaches/slicerCache27.xml"/><Relationship Id="rId63" Type="http://schemas.microsoft.com/office/2007/relationships/slicerCache" Target="slicerCaches/slicerCache48.xml"/><Relationship Id="rId84" Type="http://schemas.microsoft.com/office/2007/relationships/slicerCache" Target="slicerCaches/slicerCache69.xml"/><Relationship Id="rId138" Type="http://schemas.microsoft.com/office/2007/relationships/slicerCache" Target="slicerCaches/slicerCache123.xml"/><Relationship Id="rId159" Type="http://schemas.microsoft.com/office/2007/relationships/slicerCache" Target="slicerCaches/slicerCache144.xml"/><Relationship Id="rId170" Type="http://schemas.microsoft.com/office/2007/relationships/slicerCache" Target="slicerCaches/slicerCache155.xml"/><Relationship Id="rId191" Type="http://schemas.microsoft.com/office/2007/relationships/slicerCache" Target="slicerCaches/slicerCache176.xml"/><Relationship Id="rId205" Type="http://schemas.openxmlformats.org/officeDocument/2006/relationships/customXml" Target="../customXml/item5.xml"/><Relationship Id="rId226" Type="http://schemas.openxmlformats.org/officeDocument/2006/relationships/customXml" Target="../customXml/item26.xml"/><Relationship Id="rId107" Type="http://schemas.microsoft.com/office/2007/relationships/slicerCache" Target="slicerCaches/slicerCache92.xml"/><Relationship Id="rId11" Type="http://schemas.openxmlformats.org/officeDocument/2006/relationships/worksheet" Target="worksheets/sheet11.xml"/><Relationship Id="rId32" Type="http://schemas.microsoft.com/office/2007/relationships/slicerCache" Target="slicerCaches/slicerCache17.xml"/><Relationship Id="rId53" Type="http://schemas.microsoft.com/office/2007/relationships/slicerCache" Target="slicerCaches/slicerCache38.xml"/><Relationship Id="rId74" Type="http://schemas.microsoft.com/office/2007/relationships/slicerCache" Target="slicerCaches/slicerCache59.xml"/><Relationship Id="rId128" Type="http://schemas.microsoft.com/office/2007/relationships/slicerCache" Target="slicerCaches/slicerCache113.xml"/><Relationship Id="rId149" Type="http://schemas.microsoft.com/office/2007/relationships/slicerCache" Target="slicerCaches/slicerCache134.xml"/><Relationship Id="rId5" Type="http://schemas.openxmlformats.org/officeDocument/2006/relationships/worksheet" Target="worksheets/sheet5.xml"/><Relationship Id="rId95" Type="http://schemas.microsoft.com/office/2007/relationships/slicerCache" Target="slicerCaches/slicerCache80.xml"/><Relationship Id="rId160" Type="http://schemas.microsoft.com/office/2007/relationships/slicerCache" Target="slicerCaches/slicerCache145.xml"/><Relationship Id="rId181" Type="http://schemas.microsoft.com/office/2007/relationships/slicerCache" Target="slicerCaches/slicerCache166.xml"/><Relationship Id="rId216" Type="http://schemas.openxmlformats.org/officeDocument/2006/relationships/customXml" Target="../customXml/item16.xml"/><Relationship Id="rId237" Type="http://schemas.openxmlformats.org/officeDocument/2006/relationships/customXml" Target="../customXml/item37.xml"/><Relationship Id="rId22" Type="http://schemas.microsoft.com/office/2007/relationships/slicerCache" Target="slicerCaches/slicerCache7.xml"/><Relationship Id="rId43" Type="http://schemas.microsoft.com/office/2007/relationships/slicerCache" Target="slicerCaches/slicerCache28.xml"/><Relationship Id="rId64" Type="http://schemas.microsoft.com/office/2007/relationships/slicerCache" Target="slicerCaches/slicerCache49.xml"/><Relationship Id="rId118" Type="http://schemas.microsoft.com/office/2007/relationships/slicerCache" Target="slicerCaches/slicerCache103.xml"/><Relationship Id="rId139" Type="http://schemas.microsoft.com/office/2007/relationships/slicerCache" Target="slicerCaches/slicerCache124.xml"/><Relationship Id="rId85" Type="http://schemas.microsoft.com/office/2007/relationships/slicerCache" Target="slicerCaches/slicerCache70.xml"/><Relationship Id="rId150" Type="http://schemas.microsoft.com/office/2007/relationships/slicerCache" Target="slicerCaches/slicerCache135.xml"/><Relationship Id="rId171" Type="http://schemas.microsoft.com/office/2007/relationships/slicerCache" Target="slicerCaches/slicerCache156.xml"/><Relationship Id="rId192" Type="http://schemas.microsoft.com/office/2007/relationships/slicerCache" Target="slicerCaches/slicerCache177.xml"/><Relationship Id="rId206" Type="http://schemas.openxmlformats.org/officeDocument/2006/relationships/customXml" Target="../customXml/item6.xml"/><Relationship Id="rId227" Type="http://schemas.openxmlformats.org/officeDocument/2006/relationships/customXml" Target="../customXml/item27.xml"/><Relationship Id="rId12" Type="http://schemas.openxmlformats.org/officeDocument/2006/relationships/worksheet" Target="worksheets/sheet12.xml"/><Relationship Id="rId33" Type="http://schemas.microsoft.com/office/2007/relationships/slicerCache" Target="slicerCaches/slicerCache18.xml"/><Relationship Id="rId108" Type="http://schemas.microsoft.com/office/2007/relationships/slicerCache" Target="slicerCaches/slicerCache93.xml"/><Relationship Id="rId129" Type="http://schemas.microsoft.com/office/2007/relationships/slicerCache" Target="slicerCaches/slicerCache114.xml"/><Relationship Id="rId54" Type="http://schemas.microsoft.com/office/2007/relationships/slicerCache" Target="slicerCaches/slicerCache39.xml"/><Relationship Id="rId75" Type="http://schemas.microsoft.com/office/2007/relationships/slicerCache" Target="slicerCaches/slicerCache60.xml"/><Relationship Id="rId96" Type="http://schemas.microsoft.com/office/2007/relationships/slicerCache" Target="slicerCaches/slicerCache81.xml"/><Relationship Id="rId140" Type="http://schemas.microsoft.com/office/2007/relationships/slicerCache" Target="slicerCaches/slicerCache125.xml"/><Relationship Id="rId161" Type="http://schemas.microsoft.com/office/2007/relationships/slicerCache" Target="slicerCaches/slicerCache146.xml"/><Relationship Id="rId182" Type="http://schemas.microsoft.com/office/2007/relationships/slicerCache" Target="slicerCaches/slicerCache167.xml"/><Relationship Id="rId217" Type="http://schemas.openxmlformats.org/officeDocument/2006/relationships/customXml" Target="../customXml/item17.xml"/><Relationship Id="rId6" Type="http://schemas.openxmlformats.org/officeDocument/2006/relationships/worksheet" Target="worksheets/sheet6.xml"/><Relationship Id="rId238" Type="http://schemas.openxmlformats.org/officeDocument/2006/relationships/customXml" Target="../customXml/item38.xml"/><Relationship Id="rId23" Type="http://schemas.microsoft.com/office/2007/relationships/slicerCache" Target="slicerCaches/slicerCache8.xml"/><Relationship Id="rId119" Type="http://schemas.microsoft.com/office/2007/relationships/slicerCache" Target="slicerCaches/slicerCache104.xml"/><Relationship Id="rId44" Type="http://schemas.microsoft.com/office/2007/relationships/slicerCache" Target="slicerCaches/slicerCache29.xml"/><Relationship Id="rId65" Type="http://schemas.microsoft.com/office/2007/relationships/slicerCache" Target="slicerCaches/slicerCache50.xml"/><Relationship Id="rId86" Type="http://schemas.microsoft.com/office/2007/relationships/slicerCache" Target="slicerCaches/slicerCache71.xml"/><Relationship Id="rId130" Type="http://schemas.microsoft.com/office/2007/relationships/slicerCache" Target="slicerCaches/slicerCache115.xml"/><Relationship Id="rId151" Type="http://schemas.microsoft.com/office/2007/relationships/slicerCache" Target="slicerCaches/slicerCache136.xml"/><Relationship Id="rId172" Type="http://schemas.microsoft.com/office/2007/relationships/slicerCache" Target="slicerCaches/slicerCache157.xml"/><Relationship Id="rId193" Type="http://schemas.microsoft.com/office/2007/relationships/slicerCache" Target="slicerCaches/slicerCache178.xml"/><Relationship Id="rId207" Type="http://schemas.openxmlformats.org/officeDocument/2006/relationships/customXml" Target="../customXml/item7.xml"/><Relationship Id="rId228" Type="http://schemas.openxmlformats.org/officeDocument/2006/relationships/customXml" Target="../customXml/item28.xml"/><Relationship Id="rId13" Type="http://schemas.openxmlformats.org/officeDocument/2006/relationships/worksheet" Target="worksheets/sheet13.xml"/><Relationship Id="rId109" Type="http://schemas.microsoft.com/office/2007/relationships/slicerCache" Target="slicerCaches/slicerCache94.xml"/><Relationship Id="rId34" Type="http://schemas.microsoft.com/office/2007/relationships/slicerCache" Target="slicerCaches/slicerCache19.xml"/><Relationship Id="rId55" Type="http://schemas.microsoft.com/office/2007/relationships/slicerCache" Target="slicerCaches/slicerCache40.xml"/><Relationship Id="rId76" Type="http://schemas.microsoft.com/office/2007/relationships/slicerCache" Target="slicerCaches/slicerCache61.xml"/><Relationship Id="rId97" Type="http://schemas.microsoft.com/office/2007/relationships/slicerCache" Target="slicerCaches/slicerCache82.xml"/><Relationship Id="rId120" Type="http://schemas.microsoft.com/office/2007/relationships/slicerCache" Target="slicerCaches/slicerCache105.xml"/><Relationship Id="rId141" Type="http://schemas.microsoft.com/office/2007/relationships/slicerCache" Target="slicerCaches/slicerCache126.xml"/><Relationship Id="rId7" Type="http://schemas.openxmlformats.org/officeDocument/2006/relationships/worksheet" Target="worksheets/sheet7.xml"/><Relationship Id="rId162" Type="http://schemas.microsoft.com/office/2007/relationships/slicerCache" Target="slicerCaches/slicerCache147.xml"/><Relationship Id="rId183" Type="http://schemas.microsoft.com/office/2007/relationships/slicerCache" Target="slicerCaches/slicerCache168.xml"/><Relationship Id="rId218" Type="http://schemas.openxmlformats.org/officeDocument/2006/relationships/customXml" Target="../customXml/item18.xml"/><Relationship Id="rId239" Type="http://schemas.openxmlformats.org/officeDocument/2006/relationships/customXml" Target="../customXml/item39.xml"/><Relationship Id="rId24" Type="http://schemas.microsoft.com/office/2007/relationships/slicerCache" Target="slicerCaches/slicerCache9.xml"/><Relationship Id="rId45" Type="http://schemas.microsoft.com/office/2007/relationships/slicerCache" Target="slicerCaches/slicerCache30.xml"/><Relationship Id="rId66" Type="http://schemas.microsoft.com/office/2007/relationships/slicerCache" Target="slicerCaches/slicerCache51.xml"/><Relationship Id="rId87" Type="http://schemas.microsoft.com/office/2007/relationships/slicerCache" Target="slicerCaches/slicerCache72.xml"/><Relationship Id="rId110" Type="http://schemas.microsoft.com/office/2007/relationships/slicerCache" Target="slicerCaches/slicerCache95.xml"/><Relationship Id="rId131" Type="http://schemas.microsoft.com/office/2007/relationships/slicerCache" Target="slicerCaches/slicerCache116.xml"/><Relationship Id="rId152" Type="http://schemas.microsoft.com/office/2007/relationships/slicerCache" Target="slicerCaches/slicerCache137.xml"/><Relationship Id="rId173" Type="http://schemas.microsoft.com/office/2007/relationships/slicerCache" Target="slicerCaches/slicerCache158.xml"/><Relationship Id="rId194" Type="http://schemas.microsoft.com/office/2007/relationships/slicerCache" Target="slicerCaches/slicerCache179.xml"/><Relationship Id="rId208" Type="http://schemas.openxmlformats.org/officeDocument/2006/relationships/customXml" Target="../customXml/item8.xml"/><Relationship Id="rId229" Type="http://schemas.openxmlformats.org/officeDocument/2006/relationships/customXml" Target="../customXml/item29.xml"/><Relationship Id="rId240" Type="http://schemas.openxmlformats.org/officeDocument/2006/relationships/customXml" Target="../customXml/item40.xml"/><Relationship Id="rId14" Type="http://schemas.openxmlformats.org/officeDocument/2006/relationships/worksheet" Target="worksheets/sheet14.xml"/><Relationship Id="rId35" Type="http://schemas.microsoft.com/office/2007/relationships/slicerCache" Target="slicerCaches/slicerCache20.xml"/><Relationship Id="rId56" Type="http://schemas.microsoft.com/office/2007/relationships/slicerCache" Target="slicerCaches/slicerCache41.xml"/><Relationship Id="rId77" Type="http://schemas.microsoft.com/office/2007/relationships/slicerCache" Target="slicerCaches/slicerCache62.xml"/><Relationship Id="rId100" Type="http://schemas.microsoft.com/office/2007/relationships/slicerCache" Target="slicerCaches/slicerCache85.xml"/><Relationship Id="rId8" Type="http://schemas.openxmlformats.org/officeDocument/2006/relationships/worksheet" Target="worksheets/sheet8.xml"/><Relationship Id="rId98" Type="http://schemas.microsoft.com/office/2007/relationships/slicerCache" Target="slicerCaches/slicerCache83.xml"/><Relationship Id="rId121" Type="http://schemas.microsoft.com/office/2007/relationships/slicerCache" Target="slicerCaches/slicerCache106.xml"/><Relationship Id="rId142" Type="http://schemas.microsoft.com/office/2007/relationships/slicerCache" Target="slicerCaches/slicerCache127.xml"/><Relationship Id="rId163" Type="http://schemas.microsoft.com/office/2007/relationships/slicerCache" Target="slicerCaches/slicerCache148.xml"/><Relationship Id="rId184" Type="http://schemas.microsoft.com/office/2007/relationships/slicerCache" Target="slicerCaches/slicerCache169.xml"/><Relationship Id="rId219" Type="http://schemas.openxmlformats.org/officeDocument/2006/relationships/customXml" Target="../customXml/item19.xml"/><Relationship Id="rId230" Type="http://schemas.openxmlformats.org/officeDocument/2006/relationships/customXml" Target="../customXml/item30.xml"/><Relationship Id="rId25" Type="http://schemas.microsoft.com/office/2007/relationships/slicerCache" Target="slicerCaches/slicerCache10.xml"/><Relationship Id="rId46" Type="http://schemas.microsoft.com/office/2007/relationships/slicerCache" Target="slicerCaches/slicerCache31.xml"/><Relationship Id="rId67" Type="http://schemas.microsoft.com/office/2007/relationships/slicerCache" Target="slicerCaches/slicerCache52.xml"/><Relationship Id="rId88" Type="http://schemas.microsoft.com/office/2007/relationships/slicerCache" Target="slicerCaches/slicerCache73.xml"/><Relationship Id="rId111" Type="http://schemas.microsoft.com/office/2007/relationships/slicerCache" Target="slicerCaches/slicerCache96.xml"/><Relationship Id="rId132" Type="http://schemas.microsoft.com/office/2007/relationships/slicerCache" Target="slicerCaches/slicerCache117.xml"/><Relationship Id="rId153" Type="http://schemas.microsoft.com/office/2007/relationships/slicerCache" Target="slicerCaches/slicerCache138.xml"/><Relationship Id="rId174" Type="http://schemas.microsoft.com/office/2007/relationships/slicerCache" Target="slicerCaches/slicerCache159.xml"/><Relationship Id="rId195" Type="http://schemas.openxmlformats.org/officeDocument/2006/relationships/theme" Target="theme/theme1.xml"/><Relationship Id="rId209" Type="http://schemas.openxmlformats.org/officeDocument/2006/relationships/customXml" Target="../customXml/item9.xml"/><Relationship Id="rId190" Type="http://schemas.microsoft.com/office/2007/relationships/slicerCache" Target="slicerCaches/slicerCache175.xml"/><Relationship Id="rId204" Type="http://schemas.openxmlformats.org/officeDocument/2006/relationships/customXml" Target="../customXml/item4.xml"/><Relationship Id="rId220" Type="http://schemas.openxmlformats.org/officeDocument/2006/relationships/customXml" Target="../customXml/item20.xml"/><Relationship Id="rId225" Type="http://schemas.openxmlformats.org/officeDocument/2006/relationships/customXml" Target="../customXml/item25.xml"/><Relationship Id="rId15" Type="http://schemas.openxmlformats.org/officeDocument/2006/relationships/worksheet" Target="worksheets/sheet15.xml"/><Relationship Id="rId36" Type="http://schemas.microsoft.com/office/2007/relationships/slicerCache" Target="slicerCaches/slicerCache21.xml"/><Relationship Id="rId57" Type="http://schemas.microsoft.com/office/2007/relationships/slicerCache" Target="slicerCaches/slicerCache42.xml"/><Relationship Id="rId106" Type="http://schemas.microsoft.com/office/2007/relationships/slicerCache" Target="slicerCaches/slicerCache91.xml"/><Relationship Id="rId127" Type="http://schemas.microsoft.com/office/2007/relationships/slicerCache" Target="slicerCaches/slicerCache112.xml"/><Relationship Id="rId10" Type="http://schemas.openxmlformats.org/officeDocument/2006/relationships/worksheet" Target="worksheets/sheet10.xml"/><Relationship Id="rId31" Type="http://schemas.microsoft.com/office/2007/relationships/slicerCache" Target="slicerCaches/slicerCache16.xml"/><Relationship Id="rId52" Type="http://schemas.microsoft.com/office/2007/relationships/slicerCache" Target="slicerCaches/slicerCache37.xml"/><Relationship Id="rId73" Type="http://schemas.microsoft.com/office/2007/relationships/slicerCache" Target="slicerCaches/slicerCache58.xml"/><Relationship Id="rId78" Type="http://schemas.microsoft.com/office/2007/relationships/slicerCache" Target="slicerCaches/slicerCache63.xml"/><Relationship Id="rId94" Type="http://schemas.microsoft.com/office/2007/relationships/slicerCache" Target="slicerCaches/slicerCache79.xml"/><Relationship Id="rId99" Type="http://schemas.microsoft.com/office/2007/relationships/slicerCache" Target="slicerCaches/slicerCache84.xml"/><Relationship Id="rId101" Type="http://schemas.microsoft.com/office/2007/relationships/slicerCache" Target="slicerCaches/slicerCache86.xml"/><Relationship Id="rId122" Type="http://schemas.microsoft.com/office/2007/relationships/slicerCache" Target="slicerCaches/slicerCache107.xml"/><Relationship Id="rId143" Type="http://schemas.microsoft.com/office/2007/relationships/slicerCache" Target="slicerCaches/slicerCache128.xml"/><Relationship Id="rId148" Type="http://schemas.microsoft.com/office/2007/relationships/slicerCache" Target="slicerCaches/slicerCache133.xml"/><Relationship Id="rId164" Type="http://schemas.microsoft.com/office/2007/relationships/slicerCache" Target="slicerCaches/slicerCache149.xml"/><Relationship Id="rId169" Type="http://schemas.microsoft.com/office/2007/relationships/slicerCache" Target="slicerCaches/slicerCache154.xml"/><Relationship Id="rId185" Type="http://schemas.microsoft.com/office/2007/relationships/slicerCache" Target="slicerCaches/slicerCache170.xml"/><Relationship Id="rId4" Type="http://schemas.openxmlformats.org/officeDocument/2006/relationships/worksheet" Target="worksheets/sheet4.xml"/><Relationship Id="rId9" Type="http://schemas.openxmlformats.org/officeDocument/2006/relationships/worksheet" Target="worksheets/sheet9.xml"/><Relationship Id="rId180" Type="http://schemas.microsoft.com/office/2007/relationships/slicerCache" Target="slicerCaches/slicerCache165.xml"/><Relationship Id="rId210" Type="http://schemas.openxmlformats.org/officeDocument/2006/relationships/customXml" Target="../customXml/item10.xml"/><Relationship Id="rId215" Type="http://schemas.openxmlformats.org/officeDocument/2006/relationships/customXml" Target="../customXml/item15.xml"/><Relationship Id="rId236" Type="http://schemas.openxmlformats.org/officeDocument/2006/relationships/customXml" Target="../customXml/item36.xml"/><Relationship Id="rId26" Type="http://schemas.microsoft.com/office/2007/relationships/slicerCache" Target="slicerCaches/slicerCache11.xml"/><Relationship Id="rId231" Type="http://schemas.openxmlformats.org/officeDocument/2006/relationships/customXml" Target="../customXml/item31.xml"/><Relationship Id="rId47" Type="http://schemas.microsoft.com/office/2007/relationships/slicerCache" Target="slicerCaches/slicerCache32.xml"/><Relationship Id="rId68" Type="http://schemas.microsoft.com/office/2007/relationships/slicerCache" Target="slicerCaches/slicerCache53.xml"/><Relationship Id="rId89" Type="http://schemas.microsoft.com/office/2007/relationships/slicerCache" Target="slicerCaches/slicerCache74.xml"/><Relationship Id="rId112" Type="http://schemas.microsoft.com/office/2007/relationships/slicerCache" Target="slicerCaches/slicerCache97.xml"/><Relationship Id="rId133" Type="http://schemas.microsoft.com/office/2007/relationships/slicerCache" Target="slicerCaches/slicerCache118.xml"/><Relationship Id="rId154" Type="http://schemas.microsoft.com/office/2007/relationships/slicerCache" Target="slicerCaches/slicerCache139.xml"/><Relationship Id="rId175" Type="http://schemas.microsoft.com/office/2007/relationships/slicerCache" Target="slicerCaches/slicerCache160.xml"/><Relationship Id="rId196" Type="http://schemas.openxmlformats.org/officeDocument/2006/relationships/connections" Target="connections.xml"/><Relationship Id="rId200" Type="http://schemas.openxmlformats.org/officeDocument/2006/relationships/calcChain" Target="calcChain.xml"/><Relationship Id="rId16" Type="http://schemas.microsoft.com/office/2007/relationships/slicerCache" Target="slicerCaches/slicerCache1.xml"/><Relationship Id="rId221" Type="http://schemas.openxmlformats.org/officeDocument/2006/relationships/customXml" Target="../customXml/item21.xml"/><Relationship Id="rId37" Type="http://schemas.microsoft.com/office/2007/relationships/slicerCache" Target="slicerCaches/slicerCache22.xml"/><Relationship Id="rId58" Type="http://schemas.microsoft.com/office/2007/relationships/slicerCache" Target="slicerCaches/slicerCache43.xml"/><Relationship Id="rId79" Type="http://schemas.microsoft.com/office/2007/relationships/slicerCache" Target="slicerCaches/slicerCache64.xml"/><Relationship Id="rId102" Type="http://schemas.microsoft.com/office/2007/relationships/slicerCache" Target="slicerCaches/slicerCache87.xml"/><Relationship Id="rId123" Type="http://schemas.microsoft.com/office/2007/relationships/slicerCache" Target="slicerCaches/slicerCache108.xml"/><Relationship Id="rId144" Type="http://schemas.microsoft.com/office/2007/relationships/slicerCache" Target="slicerCaches/slicerCache129.xml"/><Relationship Id="rId90" Type="http://schemas.microsoft.com/office/2007/relationships/slicerCache" Target="slicerCaches/slicerCache75.xml"/><Relationship Id="rId165" Type="http://schemas.microsoft.com/office/2007/relationships/slicerCache" Target="slicerCaches/slicerCache150.xml"/><Relationship Id="rId186" Type="http://schemas.microsoft.com/office/2007/relationships/slicerCache" Target="slicerCaches/slicerCache171.xml"/><Relationship Id="rId211" Type="http://schemas.openxmlformats.org/officeDocument/2006/relationships/customXml" Target="../customXml/item11.xml"/><Relationship Id="rId232" Type="http://schemas.openxmlformats.org/officeDocument/2006/relationships/customXml" Target="../customXml/item32.xml"/><Relationship Id="rId27" Type="http://schemas.microsoft.com/office/2007/relationships/slicerCache" Target="slicerCaches/slicerCache12.xml"/><Relationship Id="rId48" Type="http://schemas.microsoft.com/office/2007/relationships/slicerCache" Target="slicerCaches/slicerCache33.xml"/><Relationship Id="rId69" Type="http://schemas.microsoft.com/office/2007/relationships/slicerCache" Target="slicerCaches/slicerCache54.xml"/><Relationship Id="rId113" Type="http://schemas.microsoft.com/office/2007/relationships/slicerCache" Target="slicerCaches/slicerCache98.xml"/><Relationship Id="rId134" Type="http://schemas.microsoft.com/office/2007/relationships/slicerCache" Target="slicerCaches/slicerCache119.xml"/><Relationship Id="rId80" Type="http://schemas.microsoft.com/office/2007/relationships/slicerCache" Target="slicerCaches/slicerCache65.xml"/><Relationship Id="rId155" Type="http://schemas.microsoft.com/office/2007/relationships/slicerCache" Target="slicerCaches/slicerCache140.xml"/><Relationship Id="rId176" Type="http://schemas.microsoft.com/office/2007/relationships/slicerCache" Target="slicerCaches/slicerCache161.xml"/><Relationship Id="rId197" Type="http://schemas.openxmlformats.org/officeDocument/2006/relationships/styles" Target="styles.xml"/><Relationship Id="rId201" Type="http://schemas.openxmlformats.org/officeDocument/2006/relationships/customXml" Target="../customXml/item1.xml"/><Relationship Id="rId222" Type="http://schemas.openxmlformats.org/officeDocument/2006/relationships/customXml" Target="../customXml/item22.xml"/><Relationship Id="rId17" Type="http://schemas.microsoft.com/office/2007/relationships/slicerCache" Target="slicerCaches/slicerCache2.xml"/><Relationship Id="rId38" Type="http://schemas.microsoft.com/office/2007/relationships/slicerCache" Target="slicerCaches/slicerCache23.xml"/><Relationship Id="rId59" Type="http://schemas.microsoft.com/office/2007/relationships/slicerCache" Target="slicerCaches/slicerCache44.xml"/><Relationship Id="rId103" Type="http://schemas.microsoft.com/office/2007/relationships/slicerCache" Target="slicerCaches/slicerCache88.xml"/><Relationship Id="rId124" Type="http://schemas.microsoft.com/office/2007/relationships/slicerCache" Target="slicerCaches/slicerCache109.xml"/><Relationship Id="rId70" Type="http://schemas.microsoft.com/office/2007/relationships/slicerCache" Target="slicerCaches/slicerCache55.xml"/><Relationship Id="rId91" Type="http://schemas.microsoft.com/office/2007/relationships/slicerCache" Target="slicerCaches/slicerCache76.xml"/><Relationship Id="rId145" Type="http://schemas.microsoft.com/office/2007/relationships/slicerCache" Target="slicerCaches/slicerCache130.xml"/><Relationship Id="rId166" Type="http://schemas.microsoft.com/office/2007/relationships/slicerCache" Target="slicerCaches/slicerCache151.xml"/><Relationship Id="rId187" Type="http://schemas.microsoft.com/office/2007/relationships/slicerCache" Target="slicerCaches/slicerCache172.xml"/><Relationship Id="rId1" Type="http://schemas.openxmlformats.org/officeDocument/2006/relationships/worksheet" Target="worksheets/sheet1.xml"/><Relationship Id="rId212" Type="http://schemas.openxmlformats.org/officeDocument/2006/relationships/customXml" Target="../customXml/item12.xml"/><Relationship Id="rId233" Type="http://schemas.openxmlformats.org/officeDocument/2006/relationships/customXml" Target="../customXml/item33.xml"/><Relationship Id="rId28" Type="http://schemas.microsoft.com/office/2007/relationships/slicerCache" Target="slicerCaches/slicerCache13.xml"/><Relationship Id="rId49" Type="http://schemas.microsoft.com/office/2007/relationships/slicerCache" Target="slicerCaches/slicerCache34.xml"/><Relationship Id="rId114" Type="http://schemas.microsoft.com/office/2007/relationships/slicerCache" Target="slicerCaches/slicerCache99.xml"/><Relationship Id="rId60" Type="http://schemas.microsoft.com/office/2007/relationships/slicerCache" Target="slicerCaches/slicerCache45.xml"/><Relationship Id="rId81" Type="http://schemas.microsoft.com/office/2007/relationships/slicerCache" Target="slicerCaches/slicerCache66.xml"/><Relationship Id="rId135" Type="http://schemas.microsoft.com/office/2007/relationships/slicerCache" Target="slicerCaches/slicerCache120.xml"/><Relationship Id="rId156" Type="http://schemas.microsoft.com/office/2007/relationships/slicerCache" Target="slicerCaches/slicerCache141.xml"/><Relationship Id="rId177" Type="http://schemas.microsoft.com/office/2007/relationships/slicerCache" Target="slicerCaches/slicerCache162.xml"/><Relationship Id="rId198" Type="http://schemas.openxmlformats.org/officeDocument/2006/relationships/sharedStrings" Target="sharedStrings.xml"/><Relationship Id="rId202" Type="http://schemas.openxmlformats.org/officeDocument/2006/relationships/customXml" Target="../customXml/item2.xml"/><Relationship Id="rId223" Type="http://schemas.openxmlformats.org/officeDocument/2006/relationships/customXml" Target="../customXml/item23.xml"/><Relationship Id="rId18" Type="http://schemas.microsoft.com/office/2007/relationships/slicerCache" Target="slicerCaches/slicerCache3.xml"/><Relationship Id="rId39" Type="http://schemas.microsoft.com/office/2007/relationships/slicerCache" Target="slicerCaches/slicerCache24.xml"/><Relationship Id="rId50" Type="http://schemas.microsoft.com/office/2007/relationships/slicerCache" Target="slicerCaches/slicerCache35.xml"/><Relationship Id="rId104" Type="http://schemas.microsoft.com/office/2007/relationships/slicerCache" Target="slicerCaches/slicerCache89.xml"/><Relationship Id="rId125" Type="http://schemas.microsoft.com/office/2007/relationships/slicerCache" Target="slicerCaches/slicerCache110.xml"/><Relationship Id="rId146" Type="http://schemas.microsoft.com/office/2007/relationships/slicerCache" Target="slicerCaches/slicerCache131.xml"/><Relationship Id="rId167" Type="http://schemas.microsoft.com/office/2007/relationships/slicerCache" Target="slicerCaches/slicerCache152.xml"/><Relationship Id="rId188" Type="http://schemas.microsoft.com/office/2007/relationships/slicerCache" Target="slicerCaches/slicerCache173.xml"/><Relationship Id="rId71" Type="http://schemas.microsoft.com/office/2007/relationships/slicerCache" Target="slicerCaches/slicerCache56.xml"/><Relationship Id="rId92" Type="http://schemas.microsoft.com/office/2007/relationships/slicerCache" Target="slicerCaches/slicerCache77.xml"/><Relationship Id="rId213" Type="http://schemas.openxmlformats.org/officeDocument/2006/relationships/customXml" Target="../customXml/item13.xml"/><Relationship Id="rId234" Type="http://schemas.openxmlformats.org/officeDocument/2006/relationships/customXml" Target="../customXml/item34.xml"/><Relationship Id="rId2" Type="http://schemas.openxmlformats.org/officeDocument/2006/relationships/worksheet" Target="worksheets/sheet2.xml"/><Relationship Id="rId29" Type="http://schemas.microsoft.com/office/2007/relationships/slicerCache" Target="slicerCaches/slicerCache14.xml"/><Relationship Id="rId40" Type="http://schemas.microsoft.com/office/2007/relationships/slicerCache" Target="slicerCaches/slicerCache25.xml"/><Relationship Id="rId115" Type="http://schemas.microsoft.com/office/2007/relationships/slicerCache" Target="slicerCaches/slicerCache100.xml"/><Relationship Id="rId136" Type="http://schemas.microsoft.com/office/2007/relationships/slicerCache" Target="slicerCaches/slicerCache121.xml"/><Relationship Id="rId157" Type="http://schemas.microsoft.com/office/2007/relationships/slicerCache" Target="slicerCaches/slicerCache142.xml"/><Relationship Id="rId178" Type="http://schemas.microsoft.com/office/2007/relationships/slicerCache" Target="slicerCaches/slicerCache163.xml"/><Relationship Id="rId61" Type="http://schemas.microsoft.com/office/2007/relationships/slicerCache" Target="slicerCaches/slicerCache46.xml"/><Relationship Id="rId82" Type="http://schemas.microsoft.com/office/2007/relationships/slicerCache" Target="slicerCaches/slicerCache67.xml"/><Relationship Id="rId199" Type="http://schemas.openxmlformats.org/officeDocument/2006/relationships/powerPivotData" Target="model/item.data"/><Relationship Id="rId203" Type="http://schemas.openxmlformats.org/officeDocument/2006/relationships/customXml" Target="../customXml/item3.xml"/><Relationship Id="rId19" Type="http://schemas.microsoft.com/office/2007/relationships/slicerCache" Target="slicerCaches/slicerCache4.xml"/><Relationship Id="rId224" Type="http://schemas.openxmlformats.org/officeDocument/2006/relationships/customXml" Target="../customXml/item24.xml"/><Relationship Id="rId30" Type="http://schemas.microsoft.com/office/2007/relationships/slicerCache" Target="slicerCaches/slicerCache15.xml"/><Relationship Id="rId105" Type="http://schemas.microsoft.com/office/2007/relationships/slicerCache" Target="slicerCaches/slicerCache90.xml"/><Relationship Id="rId126" Type="http://schemas.microsoft.com/office/2007/relationships/slicerCache" Target="slicerCaches/slicerCache111.xml"/><Relationship Id="rId147" Type="http://schemas.microsoft.com/office/2007/relationships/slicerCache" Target="slicerCaches/slicerCache132.xml"/><Relationship Id="rId168" Type="http://schemas.microsoft.com/office/2007/relationships/slicerCache" Target="slicerCaches/slicerCache153.xml"/><Relationship Id="rId51" Type="http://schemas.microsoft.com/office/2007/relationships/slicerCache" Target="slicerCaches/slicerCache36.xml"/><Relationship Id="rId72" Type="http://schemas.microsoft.com/office/2007/relationships/slicerCache" Target="slicerCaches/slicerCache57.xml"/><Relationship Id="rId93" Type="http://schemas.microsoft.com/office/2007/relationships/slicerCache" Target="slicerCaches/slicerCache78.xml"/><Relationship Id="rId189" Type="http://schemas.microsoft.com/office/2007/relationships/slicerCache" Target="slicerCaches/slicerCache174.xml"/><Relationship Id="rId3" Type="http://schemas.openxmlformats.org/officeDocument/2006/relationships/worksheet" Target="worksheets/sheet3.xml"/><Relationship Id="rId214" Type="http://schemas.openxmlformats.org/officeDocument/2006/relationships/customXml" Target="../customXml/item14.xml"/><Relationship Id="rId235" Type="http://schemas.openxmlformats.org/officeDocument/2006/relationships/customXml" Target="../customXml/item35.xml"/><Relationship Id="rId116" Type="http://schemas.microsoft.com/office/2007/relationships/slicerCache" Target="slicerCaches/slicerCache101.xml"/><Relationship Id="rId137" Type="http://schemas.microsoft.com/office/2007/relationships/slicerCache" Target="slicerCaches/slicerCache122.xml"/><Relationship Id="rId158" Type="http://schemas.microsoft.com/office/2007/relationships/slicerCache" Target="slicerCaches/slicerCache143.xml"/><Relationship Id="rId20" Type="http://schemas.microsoft.com/office/2007/relationships/slicerCache" Target="slicerCaches/slicerCache5.xml"/><Relationship Id="rId41" Type="http://schemas.microsoft.com/office/2007/relationships/slicerCache" Target="slicerCaches/slicerCache26.xml"/><Relationship Id="rId62" Type="http://schemas.microsoft.com/office/2007/relationships/slicerCache" Target="slicerCaches/slicerCache47.xml"/><Relationship Id="rId83" Type="http://schemas.microsoft.com/office/2007/relationships/slicerCache" Target="slicerCaches/slicerCache68.xml"/><Relationship Id="rId179" Type="http://schemas.microsoft.com/office/2007/relationships/slicerCache" Target="slicerCaches/slicerCache164.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3.xml.rels><?xml version="1.0" encoding="UTF-8" standalone="yes"?>
<Relationships xmlns="http://schemas.openxmlformats.org/package/2006/relationships"><Relationship Id="rId3" Type="http://schemas.openxmlformats.org/officeDocument/2006/relationships/hyperlink" Target="https://en.wikipedia.org/wiki/Microsoft_Office_mobile_apps" TargetMode="External"/><Relationship Id="rId2" Type="http://schemas.openxmlformats.org/officeDocument/2006/relationships/image" Target="../media/image7.png"/><Relationship Id="rId1" Type="http://schemas.openxmlformats.org/officeDocument/2006/relationships/image" Target="../media/image6.jpg"/></Relationships>
</file>

<file path=xl/drawings/_rels/drawing2.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hyperlink" Target="https://www.podfeet.com/blog/2018/05/how-to-find-the-cell-reference-for-a-searched-value-in-an-array-in-excel/" TargetMode="External"/><Relationship Id="rId1" Type="http://schemas.openxmlformats.org/officeDocument/2006/relationships/image" Target="../media/image2.png"/><Relationship Id="rId5" Type="http://schemas.openxmlformats.org/officeDocument/2006/relationships/image" Target="../media/image5.png"/><Relationship Id="rId4" Type="http://schemas.openxmlformats.org/officeDocument/2006/relationships/image" Target="../media/image4.svg"/></Relationships>
</file>

<file path=xl/drawings/drawing1.xml><?xml version="1.0" encoding="utf-8"?>
<xdr:wsDr xmlns:xdr="http://schemas.openxmlformats.org/drawingml/2006/spreadsheetDrawing" xmlns:a="http://schemas.openxmlformats.org/drawingml/2006/main">
  <xdr:twoCellAnchor editAs="oneCell">
    <xdr:from>
      <xdr:col>7</xdr:col>
      <xdr:colOff>6444</xdr:colOff>
      <xdr:row>5</xdr:row>
      <xdr:rowOff>49080</xdr:rowOff>
    </xdr:from>
    <xdr:to>
      <xdr:col>15</xdr:col>
      <xdr:colOff>593910</xdr:colOff>
      <xdr:row>12</xdr:row>
      <xdr:rowOff>120655</xdr:rowOff>
    </xdr:to>
    <xdr:pic>
      <xdr:nvPicPr>
        <xdr:cNvPr id="4" name="Picture 3">
          <a:extLst>
            <a:ext uri="{FF2B5EF4-FFF2-40B4-BE49-F238E27FC236}">
              <a16:creationId xmlns:a16="http://schemas.microsoft.com/office/drawing/2014/main" id="{9ABA25EF-475A-41D3-B4E3-15ECE7A1A1C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242268" y="1001580"/>
          <a:ext cx="5428407" cy="14498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editAs="absolute">
    <xdr:from>
      <xdr:col>5</xdr:col>
      <xdr:colOff>20171</xdr:colOff>
      <xdr:row>8</xdr:row>
      <xdr:rowOff>1841</xdr:rowOff>
    </xdr:from>
    <xdr:to>
      <xdr:col>8</xdr:col>
      <xdr:colOff>17629</xdr:colOff>
      <xdr:row>21</xdr:row>
      <xdr:rowOff>97709</xdr:rowOff>
    </xdr:to>
    <mc:AlternateContent xmlns:mc="http://schemas.openxmlformats.org/markup-compatibility/2006" xmlns:sle15="http://schemas.microsoft.com/office/drawing/2012/slicer">
      <mc:Choice Requires="sle15">
        <xdr:graphicFrame macro="">
          <xdr:nvGraphicFramePr>
            <xdr:cNvPr id="2" name="Employee ID 3">
              <a:extLst>
                <a:ext uri="{FF2B5EF4-FFF2-40B4-BE49-F238E27FC236}">
                  <a16:creationId xmlns:a16="http://schemas.microsoft.com/office/drawing/2014/main" id="{25CDA2C3-B69A-4851-8E22-3E4B82390F2A}"/>
                </a:ext>
              </a:extLst>
            </xdr:cNvPr>
            <xdr:cNvGraphicFramePr/>
          </xdr:nvGraphicFramePr>
          <xdr:xfrm>
            <a:off x="0" y="0"/>
            <a:ext cx="0" cy="0"/>
          </xdr:xfrm>
          <a:graphic>
            <a:graphicData uri="http://schemas.microsoft.com/office/drawing/2010/slicer">
              <sle:slicer xmlns:sle="http://schemas.microsoft.com/office/drawing/2010/slicer" name="Employee ID 3"/>
            </a:graphicData>
          </a:graphic>
        </xdr:graphicFrame>
      </mc:Choice>
      <mc:Fallback xmlns="">
        <xdr:sp macro="" textlink="">
          <xdr:nvSpPr>
            <xdr:cNvPr id="0" name=""/>
            <xdr:cNvSpPr>
              <a:spLocks noTextEdit="1"/>
            </xdr:cNvSpPr>
          </xdr:nvSpPr>
          <xdr:spPr>
            <a:xfrm>
              <a:off x="5567083" y="1525841"/>
              <a:ext cx="1812811" cy="2572368"/>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17236</xdr:colOff>
      <xdr:row>8</xdr:row>
      <xdr:rowOff>1841</xdr:rowOff>
    </xdr:from>
    <xdr:to>
      <xdr:col>11</xdr:col>
      <xdr:colOff>369156</xdr:colOff>
      <xdr:row>21</xdr:row>
      <xdr:rowOff>97709</xdr:rowOff>
    </xdr:to>
    <mc:AlternateContent xmlns:mc="http://schemas.openxmlformats.org/markup-compatibility/2006" xmlns:sle15="http://schemas.microsoft.com/office/drawing/2012/slicer">
      <mc:Choice Requires="sle15">
        <xdr:graphicFrame macro="">
          <xdr:nvGraphicFramePr>
            <xdr:cNvPr id="3" name="Name of Employee 2">
              <a:extLst>
                <a:ext uri="{FF2B5EF4-FFF2-40B4-BE49-F238E27FC236}">
                  <a16:creationId xmlns:a16="http://schemas.microsoft.com/office/drawing/2014/main" id="{28E0192B-F909-4645-93ED-969F0BD90DE5}"/>
                </a:ext>
              </a:extLst>
            </xdr:cNvPr>
            <xdr:cNvGraphicFramePr/>
          </xdr:nvGraphicFramePr>
          <xdr:xfrm>
            <a:off x="0" y="0"/>
            <a:ext cx="0" cy="0"/>
          </xdr:xfrm>
          <a:graphic>
            <a:graphicData uri="http://schemas.microsoft.com/office/drawing/2010/slicer">
              <sle:slicer xmlns:sle="http://schemas.microsoft.com/office/drawing/2010/slicer" name="Name of Employee 2"/>
            </a:graphicData>
          </a:graphic>
        </xdr:graphicFrame>
      </mc:Choice>
      <mc:Fallback xmlns="">
        <xdr:sp macro="" textlink="">
          <xdr:nvSpPr>
            <xdr:cNvPr id="0" name=""/>
            <xdr:cNvSpPr>
              <a:spLocks noTextEdit="1"/>
            </xdr:cNvSpPr>
          </xdr:nvSpPr>
          <xdr:spPr>
            <a:xfrm>
              <a:off x="7379501" y="1525841"/>
              <a:ext cx="2167273" cy="2572368"/>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11</xdr:col>
      <xdr:colOff>369541</xdr:colOff>
      <xdr:row>8</xdr:row>
      <xdr:rowOff>1841</xdr:rowOff>
    </xdr:from>
    <xdr:to>
      <xdr:col>14</xdr:col>
      <xdr:colOff>597016</xdr:colOff>
      <xdr:row>21</xdr:row>
      <xdr:rowOff>97709</xdr:rowOff>
    </xdr:to>
    <mc:AlternateContent xmlns:mc="http://schemas.openxmlformats.org/markup-compatibility/2006" xmlns:sle15="http://schemas.microsoft.com/office/drawing/2012/slicer">
      <mc:Choice Requires="sle15">
        <xdr:graphicFrame macro="">
          <xdr:nvGraphicFramePr>
            <xdr:cNvPr id="4" name="Employee Salary 2">
              <a:extLst>
                <a:ext uri="{FF2B5EF4-FFF2-40B4-BE49-F238E27FC236}">
                  <a16:creationId xmlns:a16="http://schemas.microsoft.com/office/drawing/2014/main" id="{4F4DEAC4-EB53-4B15-99CC-D9158A2374C9}"/>
                </a:ext>
              </a:extLst>
            </xdr:cNvPr>
            <xdr:cNvGraphicFramePr/>
          </xdr:nvGraphicFramePr>
          <xdr:xfrm>
            <a:off x="0" y="0"/>
            <a:ext cx="0" cy="0"/>
          </xdr:xfrm>
          <a:graphic>
            <a:graphicData uri="http://schemas.microsoft.com/office/drawing/2010/slicer">
              <sle:slicer xmlns:sle="http://schemas.microsoft.com/office/drawing/2010/slicer" name="Employee Salary 2"/>
            </a:graphicData>
          </a:graphic>
        </xdr:graphicFrame>
      </mc:Choice>
      <mc:Fallback xmlns="">
        <xdr:sp macro="" textlink="">
          <xdr:nvSpPr>
            <xdr:cNvPr id="0" name=""/>
            <xdr:cNvSpPr>
              <a:spLocks noTextEdit="1"/>
            </xdr:cNvSpPr>
          </xdr:nvSpPr>
          <xdr:spPr>
            <a:xfrm>
              <a:off x="9547159" y="1525841"/>
              <a:ext cx="2042828" cy="2572368"/>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editAs="absolute">
    <xdr:from>
      <xdr:col>11</xdr:col>
      <xdr:colOff>7178</xdr:colOff>
      <xdr:row>4</xdr:row>
      <xdr:rowOff>99563</xdr:rowOff>
    </xdr:from>
    <xdr:to>
      <xdr:col>14</xdr:col>
      <xdr:colOff>3009</xdr:colOff>
      <xdr:row>16</xdr:row>
      <xdr:rowOff>63881</xdr:rowOff>
    </xdr:to>
    <mc:AlternateContent xmlns:mc="http://schemas.openxmlformats.org/markup-compatibility/2006" xmlns:sle15="http://schemas.microsoft.com/office/drawing/2012/slicer">
      <mc:Choice Requires="sle15">
        <xdr:graphicFrame macro="">
          <xdr:nvGraphicFramePr>
            <xdr:cNvPr id="2" name="Employee ID 1">
              <a:extLst>
                <a:ext uri="{FF2B5EF4-FFF2-40B4-BE49-F238E27FC236}">
                  <a16:creationId xmlns:a16="http://schemas.microsoft.com/office/drawing/2014/main" id="{9FF2086E-6D4A-4997-9545-64B4F8D9FF73}"/>
                </a:ext>
              </a:extLst>
            </xdr:cNvPr>
            <xdr:cNvGraphicFramePr/>
          </xdr:nvGraphicFramePr>
          <xdr:xfrm>
            <a:off x="0" y="0"/>
            <a:ext cx="0" cy="0"/>
          </xdr:xfrm>
          <a:graphic>
            <a:graphicData uri="http://schemas.microsoft.com/office/drawing/2010/slicer">
              <sle:slicer xmlns:sle="http://schemas.microsoft.com/office/drawing/2010/slicer" name="Employee ID 1"/>
            </a:graphicData>
          </a:graphic>
        </xdr:graphicFrame>
      </mc:Choice>
      <mc:Fallback xmlns="">
        <xdr:sp macro="" textlink="">
          <xdr:nvSpPr>
            <xdr:cNvPr id="0" name=""/>
            <xdr:cNvSpPr>
              <a:spLocks noTextEdit="1"/>
            </xdr:cNvSpPr>
          </xdr:nvSpPr>
          <xdr:spPr>
            <a:xfrm>
              <a:off x="13515360" y="861563"/>
              <a:ext cx="1814240" cy="2250318"/>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13</xdr:col>
      <xdr:colOff>603765</xdr:colOff>
      <xdr:row>4</xdr:row>
      <xdr:rowOff>99563</xdr:rowOff>
    </xdr:from>
    <xdr:to>
      <xdr:col>17</xdr:col>
      <xdr:colOff>345066</xdr:colOff>
      <xdr:row>16</xdr:row>
      <xdr:rowOff>63881</xdr:rowOff>
    </xdr:to>
    <mc:AlternateContent xmlns:mc="http://schemas.openxmlformats.org/markup-compatibility/2006" xmlns:sle15="http://schemas.microsoft.com/office/drawing/2012/slicer">
      <mc:Choice Requires="sle15">
        <xdr:graphicFrame macro="">
          <xdr:nvGraphicFramePr>
            <xdr:cNvPr id="3" name="Name of Employee">
              <a:extLst>
                <a:ext uri="{FF2B5EF4-FFF2-40B4-BE49-F238E27FC236}">
                  <a16:creationId xmlns:a16="http://schemas.microsoft.com/office/drawing/2014/main" id="{DCA3662B-105E-4325-A3CE-F6D18C8855EA}"/>
                </a:ext>
              </a:extLst>
            </xdr:cNvPr>
            <xdr:cNvGraphicFramePr/>
          </xdr:nvGraphicFramePr>
          <xdr:xfrm>
            <a:off x="0" y="0"/>
            <a:ext cx="0" cy="0"/>
          </xdr:xfrm>
          <a:graphic>
            <a:graphicData uri="http://schemas.microsoft.com/office/drawing/2010/slicer">
              <sle:slicer xmlns:sle="http://schemas.microsoft.com/office/drawing/2010/slicer" name="Name of Employee"/>
            </a:graphicData>
          </a:graphic>
        </xdr:graphicFrame>
      </mc:Choice>
      <mc:Fallback xmlns="">
        <xdr:sp macro="" textlink="">
          <xdr:nvSpPr>
            <xdr:cNvPr id="0" name=""/>
            <xdr:cNvSpPr>
              <a:spLocks noTextEdit="1"/>
            </xdr:cNvSpPr>
          </xdr:nvSpPr>
          <xdr:spPr>
            <a:xfrm>
              <a:off x="15324220" y="861563"/>
              <a:ext cx="2165846" cy="2250318"/>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11</xdr:col>
      <xdr:colOff>5273</xdr:colOff>
      <xdr:row>16</xdr:row>
      <xdr:rowOff>64678</xdr:rowOff>
    </xdr:from>
    <xdr:to>
      <xdr:col>14</xdr:col>
      <xdr:colOff>150495</xdr:colOff>
      <xdr:row>28</xdr:row>
      <xdr:rowOff>26171</xdr:rowOff>
    </xdr:to>
    <mc:AlternateContent xmlns:mc="http://schemas.openxmlformats.org/markup-compatibility/2006" xmlns:sle15="http://schemas.microsoft.com/office/drawing/2012/slicer">
      <mc:Choice Requires="sle15">
        <xdr:graphicFrame macro="">
          <xdr:nvGraphicFramePr>
            <xdr:cNvPr id="4" name="Employee Salary">
              <a:extLst>
                <a:ext uri="{FF2B5EF4-FFF2-40B4-BE49-F238E27FC236}">
                  <a16:creationId xmlns:a16="http://schemas.microsoft.com/office/drawing/2014/main" id="{CE141B26-49B7-44BD-A2F6-A052F6176A1C}"/>
                </a:ext>
              </a:extLst>
            </xdr:cNvPr>
            <xdr:cNvGraphicFramePr/>
          </xdr:nvGraphicFramePr>
          <xdr:xfrm>
            <a:off x="0" y="0"/>
            <a:ext cx="0" cy="0"/>
          </xdr:xfrm>
          <a:graphic>
            <a:graphicData uri="http://schemas.microsoft.com/office/drawing/2010/slicer">
              <sle:slicer xmlns:sle="http://schemas.microsoft.com/office/drawing/2010/slicer" name="Employee Salary"/>
            </a:graphicData>
          </a:graphic>
        </xdr:graphicFrame>
      </mc:Choice>
      <mc:Fallback xmlns="">
        <xdr:sp macro="" textlink="">
          <xdr:nvSpPr>
            <xdr:cNvPr id="0" name=""/>
            <xdr:cNvSpPr>
              <a:spLocks noTextEdit="1"/>
            </xdr:cNvSpPr>
          </xdr:nvSpPr>
          <xdr:spPr>
            <a:xfrm>
              <a:off x="13513455" y="3112678"/>
              <a:ext cx="1963631" cy="2247493"/>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14</xdr:col>
      <xdr:colOff>150495</xdr:colOff>
      <xdr:row>16</xdr:row>
      <xdr:rowOff>63861</xdr:rowOff>
    </xdr:from>
    <xdr:to>
      <xdr:col>17</xdr:col>
      <xdr:colOff>345908</xdr:colOff>
      <xdr:row>28</xdr:row>
      <xdr:rowOff>27536</xdr:rowOff>
    </xdr:to>
    <mc:AlternateContent xmlns:mc="http://schemas.openxmlformats.org/markup-compatibility/2006" xmlns:sle15="http://schemas.microsoft.com/office/drawing/2012/slicer">
      <mc:Choice Requires="sle15">
        <xdr:graphicFrame macro="">
          <xdr:nvGraphicFramePr>
            <xdr:cNvPr id="5" name="Gross Salary">
              <a:extLst>
                <a:ext uri="{FF2B5EF4-FFF2-40B4-BE49-F238E27FC236}">
                  <a16:creationId xmlns:a16="http://schemas.microsoft.com/office/drawing/2014/main" id="{274810DA-C13E-45DF-9A85-39EC8B0E183C}"/>
                </a:ext>
              </a:extLst>
            </xdr:cNvPr>
            <xdr:cNvGraphicFramePr/>
          </xdr:nvGraphicFramePr>
          <xdr:xfrm>
            <a:off x="0" y="0"/>
            <a:ext cx="0" cy="0"/>
          </xdr:xfrm>
          <a:graphic>
            <a:graphicData uri="http://schemas.microsoft.com/office/drawing/2010/slicer">
              <sle:slicer xmlns:sle="http://schemas.microsoft.com/office/drawing/2010/slicer" name="Gross Salary"/>
            </a:graphicData>
          </a:graphic>
        </xdr:graphicFrame>
      </mc:Choice>
      <mc:Fallback xmlns="">
        <xdr:sp macro="" textlink="">
          <xdr:nvSpPr>
            <xdr:cNvPr id="0" name=""/>
            <xdr:cNvSpPr>
              <a:spLocks noTextEdit="1"/>
            </xdr:cNvSpPr>
          </xdr:nvSpPr>
          <xdr:spPr>
            <a:xfrm>
              <a:off x="15477086" y="3111861"/>
              <a:ext cx="2013822" cy="224967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twoCellAnchor editAs="absolute">
    <xdr:from>
      <xdr:col>11</xdr:col>
      <xdr:colOff>4491</xdr:colOff>
      <xdr:row>5</xdr:row>
      <xdr:rowOff>120800</xdr:rowOff>
    </xdr:from>
    <xdr:to>
      <xdr:col>14</xdr:col>
      <xdr:colOff>17938</xdr:colOff>
      <xdr:row>16</xdr:row>
      <xdr:rowOff>80005</xdr:rowOff>
    </xdr:to>
    <mc:AlternateContent xmlns:mc="http://schemas.openxmlformats.org/markup-compatibility/2006" xmlns:sle15="http://schemas.microsoft.com/office/drawing/2012/slicer">
      <mc:Choice Requires="sle15">
        <xdr:graphicFrame macro="">
          <xdr:nvGraphicFramePr>
            <xdr:cNvPr id="2" name="Employee ID 2">
              <a:extLst>
                <a:ext uri="{FF2B5EF4-FFF2-40B4-BE49-F238E27FC236}">
                  <a16:creationId xmlns:a16="http://schemas.microsoft.com/office/drawing/2014/main" id="{C3EA9BB1-AEDE-4806-B6DF-8BB495982658}"/>
                </a:ext>
              </a:extLst>
            </xdr:cNvPr>
            <xdr:cNvGraphicFramePr/>
          </xdr:nvGraphicFramePr>
          <xdr:xfrm>
            <a:off x="0" y="0"/>
            <a:ext cx="0" cy="0"/>
          </xdr:xfrm>
          <a:graphic>
            <a:graphicData uri="http://schemas.microsoft.com/office/drawing/2010/slicer">
              <sle:slicer xmlns:sle="http://schemas.microsoft.com/office/drawing/2010/slicer" name="Employee ID 2"/>
            </a:graphicData>
          </a:graphic>
        </xdr:graphicFrame>
      </mc:Choice>
      <mc:Fallback xmlns="">
        <xdr:sp macro="" textlink="">
          <xdr:nvSpPr>
            <xdr:cNvPr id="0" name=""/>
            <xdr:cNvSpPr>
              <a:spLocks noTextEdit="1"/>
            </xdr:cNvSpPr>
          </xdr:nvSpPr>
          <xdr:spPr>
            <a:xfrm>
              <a:off x="12353373" y="1073300"/>
              <a:ext cx="1828800" cy="205470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14</xdr:col>
      <xdr:colOff>16875</xdr:colOff>
      <xdr:row>5</xdr:row>
      <xdr:rowOff>120800</xdr:rowOff>
    </xdr:from>
    <xdr:to>
      <xdr:col>17</xdr:col>
      <xdr:colOff>30323</xdr:colOff>
      <xdr:row>16</xdr:row>
      <xdr:rowOff>80005</xdr:rowOff>
    </xdr:to>
    <mc:AlternateContent xmlns:mc="http://schemas.openxmlformats.org/markup-compatibility/2006" xmlns:sle15="http://schemas.microsoft.com/office/drawing/2012/slicer">
      <mc:Choice Requires="sle15">
        <xdr:graphicFrame macro="">
          <xdr:nvGraphicFramePr>
            <xdr:cNvPr id="3" name="Name of Employee 1">
              <a:extLst>
                <a:ext uri="{FF2B5EF4-FFF2-40B4-BE49-F238E27FC236}">
                  <a16:creationId xmlns:a16="http://schemas.microsoft.com/office/drawing/2014/main" id="{D0806CD8-6260-4F96-A152-310B9D8F6E5B}"/>
                </a:ext>
              </a:extLst>
            </xdr:cNvPr>
            <xdr:cNvGraphicFramePr/>
          </xdr:nvGraphicFramePr>
          <xdr:xfrm>
            <a:off x="0" y="0"/>
            <a:ext cx="0" cy="0"/>
          </xdr:xfrm>
          <a:graphic>
            <a:graphicData uri="http://schemas.microsoft.com/office/drawing/2010/slicer">
              <sle:slicer xmlns:sle="http://schemas.microsoft.com/office/drawing/2010/slicer" name="Name of Employee 1"/>
            </a:graphicData>
          </a:graphic>
        </xdr:graphicFrame>
      </mc:Choice>
      <mc:Fallback xmlns="">
        <xdr:sp macro="" textlink="">
          <xdr:nvSpPr>
            <xdr:cNvPr id="0" name=""/>
            <xdr:cNvSpPr>
              <a:spLocks noTextEdit="1"/>
            </xdr:cNvSpPr>
          </xdr:nvSpPr>
          <xdr:spPr>
            <a:xfrm>
              <a:off x="14181110" y="1073300"/>
              <a:ext cx="1828801" cy="205470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11</xdr:col>
      <xdr:colOff>4491</xdr:colOff>
      <xdr:row>16</xdr:row>
      <xdr:rowOff>78955</xdr:rowOff>
    </xdr:from>
    <xdr:to>
      <xdr:col>14</xdr:col>
      <xdr:colOff>17938</xdr:colOff>
      <xdr:row>27</xdr:row>
      <xdr:rowOff>37494</xdr:rowOff>
    </xdr:to>
    <mc:AlternateContent xmlns:mc="http://schemas.openxmlformats.org/markup-compatibility/2006" xmlns:sle15="http://schemas.microsoft.com/office/drawing/2012/slicer">
      <mc:Choice Requires="sle15">
        <xdr:graphicFrame macro="">
          <xdr:nvGraphicFramePr>
            <xdr:cNvPr id="4" name="Employee Salary 1">
              <a:extLst>
                <a:ext uri="{FF2B5EF4-FFF2-40B4-BE49-F238E27FC236}">
                  <a16:creationId xmlns:a16="http://schemas.microsoft.com/office/drawing/2014/main" id="{82A5748C-40EC-4E5F-84BC-FEF5C0D42026}"/>
                </a:ext>
              </a:extLst>
            </xdr:cNvPr>
            <xdr:cNvGraphicFramePr/>
          </xdr:nvGraphicFramePr>
          <xdr:xfrm>
            <a:off x="0" y="0"/>
            <a:ext cx="0" cy="0"/>
          </xdr:xfrm>
          <a:graphic>
            <a:graphicData uri="http://schemas.microsoft.com/office/drawing/2010/slicer">
              <sle:slicer xmlns:sle="http://schemas.microsoft.com/office/drawing/2010/slicer" name="Employee Salary 1"/>
            </a:graphicData>
          </a:graphic>
        </xdr:graphicFrame>
      </mc:Choice>
      <mc:Fallback xmlns="">
        <xdr:sp macro="" textlink="">
          <xdr:nvSpPr>
            <xdr:cNvPr id="0" name=""/>
            <xdr:cNvSpPr>
              <a:spLocks noTextEdit="1"/>
            </xdr:cNvSpPr>
          </xdr:nvSpPr>
          <xdr:spPr>
            <a:xfrm>
              <a:off x="12353373" y="3126955"/>
              <a:ext cx="1828800" cy="2054039"/>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14</xdr:col>
      <xdr:colOff>16875</xdr:colOff>
      <xdr:row>16</xdr:row>
      <xdr:rowOff>78955</xdr:rowOff>
    </xdr:from>
    <xdr:to>
      <xdr:col>17</xdr:col>
      <xdr:colOff>30323</xdr:colOff>
      <xdr:row>27</xdr:row>
      <xdr:rowOff>37494</xdr:rowOff>
    </xdr:to>
    <mc:AlternateContent xmlns:mc="http://schemas.openxmlformats.org/markup-compatibility/2006" xmlns:sle15="http://schemas.microsoft.com/office/drawing/2012/slicer">
      <mc:Choice Requires="sle15">
        <xdr:graphicFrame macro="">
          <xdr:nvGraphicFramePr>
            <xdr:cNvPr id="5" name="Net Salary">
              <a:extLst>
                <a:ext uri="{FF2B5EF4-FFF2-40B4-BE49-F238E27FC236}">
                  <a16:creationId xmlns:a16="http://schemas.microsoft.com/office/drawing/2014/main" id="{4B3F29B8-B30D-43BA-8684-7FD9EBCC8837}"/>
                </a:ext>
              </a:extLst>
            </xdr:cNvPr>
            <xdr:cNvGraphicFramePr/>
          </xdr:nvGraphicFramePr>
          <xdr:xfrm>
            <a:off x="0" y="0"/>
            <a:ext cx="0" cy="0"/>
          </xdr:xfrm>
          <a:graphic>
            <a:graphicData uri="http://schemas.microsoft.com/office/drawing/2010/slicer">
              <sle:slicer xmlns:sle="http://schemas.microsoft.com/office/drawing/2010/slicer" name="Net Salary"/>
            </a:graphicData>
          </a:graphic>
        </xdr:graphicFrame>
      </mc:Choice>
      <mc:Fallback xmlns="">
        <xdr:sp macro="" textlink="">
          <xdr:nvSpPr>
            <xdr:cNvPr id="0" name=""/>
            <xdr:cNvSpPr>
              <a:spLocks noTextEdit="1"/>
            </xdr:cNvSpPr>
          </xdr:nvSpPr>
          <xdr:spPr>
            <a:xfrm>
              <a:off x="14181110" y="3126955"/>
              <a:ext cx="1828801" cy="2054039"/>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15804</xdr:colOff>
      <xdr:row>0</xdr:row>
      <xdr:rowOff>4599</xdr:rowOff>
    </xdr:from>
    <xdr:to>
      <xdr:col>79</xdr:col>
      <xdr:colOff>95250</xdr:colOff>
      <xdr:row>252</xdr:row>
      <xdr:rowOff>52164</xdr:rowOff>
    </xdr:to>
    <xdr:pic>
      <xdr:nvPicPr>
        <xdr:cNvPr id="8" name="Picture 7">
          <a:extLst>
            <a:ext uri="{FF2B5EF4-FFF2-40B4-BE49-F238E27FC236}">
              <a16:creationId xmlns:a16="http://schemas.microsoft.com/office/drawing/2014/main" id="{3CF61A65-CF61-4474-8E92-66965E871B3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5804" y="4599"/>
          <a:ext cx="45132696" cy="48053565"/>
        </a:xfrm>
        <a:prstGeom prst="rect">
          <a:avLst/>
        </a:prstGeom>
      </xdr:spPr>
    </xdr:pic>
    <xdr:clientData/>
  </xdr:twoCellAnchor>
  <xdr:twoCellAnchor editAs="oneCell">
    <xdr:from>
      <xdr:col>104</xdr:col>
      <xdr:colOff>95250</xdr:colOff>
      <xdr:row>0</xdr:row>
      <xdr:rowOff>95251</xdr:rowOff>
    </xdr:from>
    <xdr:to>
      <xdr:col>221</xdr:col>
      <xdr:colOff>541297</xdr:colOff>
      <xdr:row>251</xdr:row>
      <xdr:rowOff>70955</xdr:rowOff>
    </xdr:to>
    <xdr:pic>
      <xdr:nvPicPr>
        <xdr:cNvPr id="10" name="Picture 9">
          <a:extLst>
            <a:ext uri="{FF2B5EF4-FFF2-40B4-BE49-F238E27FC236}">
              <a16:creationId xmlns:a16="http://schemas.microsoft.com/office/drawing/2014/main" id="{3210DE94-6775-4C5D-AF5F-EE454C77E26A}"/>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 uri="{837473B0-CC2E-450A-ABE3-18F120FF3D39}">
              <a1611:picAttrSrcUrl xmlns:a1611="http://schemas.microsoft.com/office/drawing/2016/11/main" r:id="rId3"/>
            </a:ext>
          </a:extLst>
        </a:blip>
        <a:stretch>
          <a:fillRect/>
        </a:stretch>
      </xdr:blipFill>
      <xdr:spPr>
        <a:xfrm>
          <a:off x="59436000" y="95251"/>
          <a:ext cx="67311547" cy="4779120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11204</xdr:colOff>
      <xdr:row>1</xdr:row>
      <xdr:rowOff>0</xdr:rowOff>
    </xdr:from>
    <xdr:to>
      <xdr:col>5</xdr:col>
      <xdr:colOff>78438</xdr:colOff>
      <xdr:row>12</xdr:row>
      <xdr:rowOff>51475</xdr:rowOff>
    </xdr:to>
    <xdr:pic>
      <xdr:nvPicPr>
        <xdr:cNvPr id="2" name="Picture 1">
          <a:extLst>
            <a:ext uri="{FF2B5EF4-FFF2-40B4-BE49-F238E27FC236}">
              <a16:creationId xmlns:a16="http://schemas.microsoft.com/office/drawing/2014/main" id="{CB37F4E2-7A77-4C6B-8575-5C55E0F1003A}"/>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 uri="{837473B0-CC2E-450A-ABE3-18F120FF3D39}">
              <a1611:picAttrSrcUrl xmlns:a1611="http://schemas.microsoft.com/office/drawing/2016/11/main" r:id="rId2"/>
            </a:ext>
          </a:extLst>
        </a:blip>
        <a:stretch>
          <a:fillRect/>
        </a:stretch>
      </xdr:blipFill>
      <xdr:spPr>
        <a:xfrm>
          <a:off x="616322" y="347382"/>
          <a:ext cx="2487704" cy="251676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xdr:col>
      <xdr:colOff>0</xdr:colOff>
      <xdr:row>15</xdr:row>
      <xdr:rowOff>13607</xdr:rowOff>
    </xdr:from>
    <xdr:to>
      <xdr:col>16</xdr:col>
      <xdr:colOff>6179</xdr:colOff>
      <xdr:row>40</xdr:row>
      <xdr:rowOff>176892</xdr:rowOff>
    </xdr:to>
    <xdr:pic>
      <xdr:nvPicPr>
        <xdr:cNvPr id="5" name="Graphic 4">
          <a:extLst>
            <a:ext uri="{FF2B5EF4-FFF2-40B4-BE49-F238E27FC236}">
              <a16:creationId xmlns:a16="http://schemas.microsoft.com/office/drawing/2014/main" id="{61702106-0FF0-4E36-B161-1E8388F1AF98}"/>
            </a:ext>
          </a:extLst>
        </xdr:cNvPr>
        <xdr:cNvPicPr>
          <a:picLocks noChangeAspect="1"/>
        </xdr:cNvPicPr>
      </xdr:nvPicPr>
      <xdr:blipFill>
        <a:blip xmlns:r="http://schemas.openxmlformats.org/officeDocument/2006/relationships" r:embed="rId3">
          <a:extLst>
            <a:ext uri="{96DAC541-7B7A-43D3-8B79-37D633B846F1}">
              <asvg:svgBlip xmlns:asvg="http://schemas.microsoft.com/office/drawing/2016/SVG/main" r:embed="rId4"/>
            </a:ext>
          </a:extLst>
        </a:blip>
        <a:stretch>
          <a:fillRect/>
        </a:stretch>
      </xdr:blipFill>
      <xdr:spPr>
        <a:xfrm>
          <a:off x="605118" y="3341754"/>
          <a:ext cx="9082943" cy="5071461"/>
        </a:xfrm>
        <a:prstGeom prst="rect">
          <a:avLst/>
        </a:prstGeom>
      </xdr:spPr>
    </xdr:pic>
    <xdr:clientData/>
  </xdr:twoCellAnchor>
  <xdr:twoCellAnchor editAs="oneCell">
    <xdr:from>
      <xdr:col>4</xdr:col>
      <xdr:colOff>190499</xdr:colOff>
      <xdr:row>45</xdr:row>
      <xdr:rowOff>100854</xdr:rowOff>
    </xdr:from>
    <xdr:to>
      <xdr:col>11</xdr:col>
      <xdr:colOff>270103</xdr:colOff>
      <xdr:row>78</xdr:row>
      <xdr:rowOff>120784</xdr:rowOff>
    </xdr:to>
    <xdr:pic>
      <xdr:nvPicPr>
        <xdr:cNvPr id="3" name="Picture 2">
          <a:extLst>
            <a:ext uri="{FF2B5EF4-FFF2-40B4-BE49-F238E27FC236}">
              <a16:creationId xmlns:a16="http://schemas.microsoft.com/office/drawing/2014/main" id="{C877D339-E2D7-4144-AE33-69D6161B071A}"/>
            </a:ext>
          </a:extLst>
        </xdr:cNvPr>
        <xdr:cNvPicPr>
          <a:picLocks noChangeAspect="1"/>
        </xdr:cNvPicPr>
      </xdr:nvPicPr>
      <xdr:blipFill>
        <a:blip xmlns:r="http://schemas.openxmlformats.org/officeDocument/2006/relationships" r:embed="rId5"/>
        <a:stretch>
          <a:fillRect/>
        </a:stretch>
      </xdr:blipFill>
      <xdr:spPr>
        <a:xfrm>
          <a:off x="2610970" y="9894795"/>
          <a:ext cx="4315427" cy="630643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absolute">
    <xdr:from>
      <xdr:col>8</xdr:col>
      <xdr:colOff>13447</xdr:colOff>
      <xdr:row>6</xdr:row>
      <xdr:rowOff>175932</xdr:rowOff>
    </xdr:from>
    <xdr:to>
      <xdr:col>11</xdr:col>
      <xdr:colOff>26894</xdr:colOff>
      <xdr:row>19</xdr:row>
      <xdr:rowOff>67235</xdr:rowOff>
    </xdr:to>
    <mc:AlternateContent xmlns:mc="http://schemas.openxmlformats.org/markup-compatibility/2006" xmlns:sle15="http://schemas.microsoft.com/office/drawing/2012/slicer">
      <mc:Choice Requires="sle15">
        <xdr:graphicFrame macro="">
          <xdr:nvGraphicFramePr>
            <xdr:cNvPr id="6" name="Roll No">
              <a:extLst>
                <a:ext uri="{FF2B5EF4-FFF2-40B4-BE49-F238E27FC236}">
                  <a16:creationId xmlns:a16="http://schemas.microsoft.com/office/drawing/2014/main" id="{609D3057-0D9E-4567-94B7-8D22D94FAAAD}"/>
                </a:ext>
              </a:extLst>
            </xdr:cNvPr>
            <xdr:cNvGraphicFramePr/>
          </xdr:nvGraphicFramePr>
          <xdr:xfrm>
            <a:off x="0" y="0"/>
            <a:ext cx="0" cy="0"/>
          </xdr:xfrm>
          <a:graphic>
            <a:graphicData uri="http://schemas.microsoft.com/office/drawing/2010/slicer">
              <sle:slicer xmlns:sle="http://schemas.microsoft.com/office/drawing/2010/slicer" name="Roll No"/>
            </a:graphicData>
          </a:graphic>
        </xdr:graphicFrame>
      </mc:Choice>
      <mc:Fallback xmlns="">
        <xdr:sp macro="" textlink="">
          <xdr:nvSpPr>
            <xdr:cNvPr id="0" name=""/>
            <xdr:cNvSpPr>
              <a:spLocks noTextEdit="1"/>
            </xdr:cNvSpPr>
          </xdr:nvSpPr>
          <xdr:spPr>
            <a:xfrm>
              <a:off x="10586197" y="1318932"/>
              <a:ext cx="1850411" cy="2367803"/>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11</xdr:col>
      <xdr:colOff>15965</xdr:colOff>
      <xdr:row>6</xdr:row>
      <xdr:rowOff>175932</xdr:rowOff>
    </xdr:from>
    <xdr:to>
      <xdr:col>13</xdr:col>
      <xdr:colOff>283451</xdr:colOff>
      <xdr:row>19</xdr:row>
      <xdr:rowOff>67235</xdr:rowOff>
    </xdr:to>
    <mc:AlternateContent xmlns:mc="http://schemas.openxmlformats.org/markup-compatibility/2006" xmlns:sle15="http://schemas.microsoft.com/office/drawing/2012/slicer">
      <mc:Choice Requires="sle15">
        <xdr:graphicFrame macro="">
          <xdr:nvGraphicFramePr>
            <xdr:cNvPr id="7" name="Department">
              <a:extLst>
                <a:ext uri="{FF2B5EF4-FFF2-40B4-BE49-F238E27FC236}">
                  <a16:creationId xmlns:a16="http://schemas.microsoft.com/office/drawing/2014/main" id="{4CE51106-CD7D-404F-B0A2-27F4ADE36487}"/>
                </a:ext>
              </a:extLst>
            </xdr:cNvPr>
            <xdr:cNvGraphicFramePr/>
          </xdr:nvGraphicFramePr>
          <xdr:xfrm>
            <a:off x="0" y="0"/>
            <a:ext cx="0" cy="0"/>
          </xdr:xfrm>
          <a:graphic>
            <a:graphicData uri="http://schemas.microsoft.com/office/drawing/2010/slicer">
              <sle:slicer xmlns:sle="http://schemas.microsoft.com/office/drawing/2010/slicer" name="Department"/>
            </a:graphicData>
          </a:graphic>
        </xdr:graphicFrame>
      </mc:Choice>
      <mc:Fallback xmlns="">
        <xdr:sp macro="" textlink="">
          <xdr:nvSpPr>
            <xdr:cNvPr id="0" name=""/>
            <xdr:cNvSpPr>
              <a:spLocks noTextEdit="1"/>
            </xdr:cNvSpPr>
          </xdr:nvSpPr>
          <xdr:spPr>
            <a:xfrm>
              <a:off x="12425679" y="1318932"/>
              <a:ext cx="1492129" cy="2367803"/>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4.xml><?xml version="1.0" encoding="utf-8"?>
<xdr:wsDr xmlns:xdr="http://schemas.openxmlformats.org/drawingml/2006/spreadsheetDrawing" xmlns:a="http://schemas.openxmlformats.org/drawingml/2006/main">
  <xdr:twoCellAnchor editAs="absolute">
    <xdr:from>
      <xdr:col>8</xdr:col>
      <xdr:colOff>252563</xdr:colOff>
      <xdr:row>0</xdr:row>
      <xdr:rowOff>110092</xdr:rowOff>
    </xdr:from>
    <xdr:to>
      <xdr:col>9</xdr:col>
      <xdr:colOff>351213</xdr:colOff>
      <xdr:row>12</xdr:row>
      <xdr:rowOff>6804</xdr:rowOff>
    </xdr:to>
    <mc:AlternateContent xmlns:mc="http://schemas.openxmlformats.org/markup-compatibility/2006" xmlns:sle15="http://schemas.microsoft.com/office/drawing/2012/slicer">
      <mc:Choice Requires="sle15">
        <xdr:graphicFrame macro="">
          <xdr:nvGraphicFramePr>
            <xdr:cNvPr id="3" name="Roll No 1">
              <a:extLst>
                <a:ext uri="{FF2B5EF4-FFF2-40B4-BE49-F238E27FC236}">
                  <a16:creationId xmlns:a16="http://schemas.microsoft.com/office/drawing/2014/main" id="{3FC26700-F2F4-4683-A461-CD80D8CCC285}"/>
                </a:ext>
              </a:extLst>
            </xdr:cNvPr>
            <xdr:cNvGraphicFramePr/>
          </xdr:nvGraphicFramePr>
          <xdr:xfrm>
            <a:off x="0" y="0"/>
            <a:ext cx="0" cy="0"/>
          </xdr:xfrm>
          <a:graphic>
            <a:graphicData uri="http://schemas.microsoft.com/office/drawing/2010/slicer">
              <sle:slicer xmlns:sle="http://schemas.microsoft.com/office/drawing/2010/slicer" name="Roll No 1"/>
            </a:graphicData>
          </a:graphic>
        </xdr:graphicFrame>
      </mc:Choice>
      <mc:Fallback xmlns="">
        <xdr:sp macro="" textlink="">
          <xdr:nvSpPr>
            <xdr:cNvPr id="0" name=""/>
            <xdr:cNvSpPr>
              <a:spLocks noTextEdit="1"/>
            </xdr:cNvSpPr>
          </xdr:nvSpPr>
          <xdr:spPr>
            <a:xfrm>
              <a:off x="13890122" y="110092"/>
              <a:ext cx="1801944" cy="2182712"/>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329075</xdr:colOff>
      <xdr:row>0</xdr:row>
      <xdr:rowOff>110092</xdr:rowOff>
    </xdr:from>
    <xdr:to>
      <xdr:col>10</xdr:col>
      <xdr:colOff>81477</xdr:colOff>
      <xdr:row>12</xdr:row>
      <xdr:rowOff>6804</xdr:rowOff>
    </xdr:to>
    <mc:AlternateContent xmlns:mc="http://schemas.openxmlformats.org/markup-compatibility/2006" xmlns:sle15="http://schemas.microsoft.com/office/drawing/2012/slicer">
      <mc:Choice Requires="sle15">
        <xdr:graphicFrame macro="">
          <xdr:nvGraphicFramePr>
            <xdr:cNvPr id="4" name="Total Subject CGPA">
              <a:extLst>
                <a:ext uri="{FF2B5EF4-FFF2-40B4-BE49-F238E27FC236}">
                  <a16:creationId xmlns:a16="http://schemas.microsoft.com/office/drawing/2014/main" id="{B81E6AB2-E0C7-4AA1-94BD-3B888BA99A8C}"/>
                </a:ext>
              </a:extLst>
            </xdr:cNvPr>
            <xdr:cNvGraphicFramePr/>
          </xdr:nvGraphicFramePr>
          <xdr:xfrm>
            <a:off x="0" y="0"/>
            <a:ext cx="0" cy="0"/>
          </xdr:xfrm>
          <a:graphic>
            <a:graphicData uri="http://schemas.microsoft.com/office/drawing/2010/slicer">
              <sle:slicer xmlns:sle="http://schemas.microsoft.com/office/drawing/2010/slicer" name="Total Subject CGPA"/>
            </a:graphicData>
          </a:graphic>
        </xdr:graphicFrame>
      </mc:Choice>
      <mc:Fallback xmlns="">
        <xdr:sp macro="" textlink="">
          <xdr:nvSpPr>
            <xdr:cNvPr id="0" name=""/>
            <xdr:cNvSpPr>
              <a:spLocks noTextEdit="1"/>
            </xdr:cNvSpPr>
          </xdr:nvSpPr>
          <xdr:spPr>
            <a:xfrm>
              <a:off x="15669928" y="110092"/>
              <a:ext cx="1859108" cy="2182712"/>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692026</xdr:colOff>
      <xdr:row>45</xdr:row>
      <xdr:rowOff>144614</xdr:rowOff>
    </xdr:from>
    <xdr:to>
      <xdr:col>6</xdr:col>
      <xdr:colOff>1357344</xdr:colOff>
      <xdr:row>59</xdr:row>
      <xdr:rowOff>1739</xdr:rowOff>
    </xdr:to>
    <mc:AlternateContent xmlns:mc="http://schemas.openxmlformats.org/markup-compatibility/2006" xmlns:sle15="http://schemas.microsoft.com/office/drawing/2012/slicer">
      <mc:Choice Requires="sle15">
        <xdr:graphicFrame macro="">
          <xdr:nvGraphicFramePr>
            <xdr:cNvPr id="12" name="Roll No 2">
              <a:extLst>
                <a:ext uri="{FF2B5EF4-FFF2-40B4-BE49-F238E27FC236}">
                  <a16:creationId xmlns:a16="http://schemas.microsoft.com/office/drawing/2014/main" id="{23CD1897-E3BD-406E-98D7-A886BE015A40}"/>
                </a:ext>
              </a:extLst>
            </xdr:cNvPr>
            <xdr:cNvGraphicFramePr/>
          </xdr:nvGraphicFramePr>
          <xdr:xfrm>
            <a:off x="0" y="0"/>
            <a:ext cx="0" cy="0"/>
          </xdr:xfrm>
          <a:graphic>
            <a:graphicData uri="http://schemas.microsoft.com/office/drawing/2010/slicer">
              <sle:slicer xmlns:sle="http://schemas.microsoft.com/office/drawing/2010/slicer" name="Roll No 2"/>
            </a:graphicData>
          </a:graphic>
        </xdr:graphicFrame>
      </mc:Choice>
      <mc:Fallback xmlns="">
        <xdr:sp macro="" textlink="">
          <xdr:nvSpPr>
            <xdr:cNvPr id="0" name=""/>
            <xdr:cNvSpPr>
              <a:spLocks noTextEdit="1"/>
            </xdr:cNvSpPr>
          </xdr:nvSpPr>
          <xdr:spPr>
            <a:xfrm>
              <a:off x="9118850" y="8717114"/>
              <a:ext cx="184193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1339205</xdr:colOff>
      <xdr:row>45</xdr:row>
      <xdr:rowOff>144614</xdr:rowOff>
    </xdr:from>
    <xdr:to>
      <xdr:col>7</xdr:col>
      <xdr:colOff>1617546</xdr:colOff>
      <xdr:row>59</xdr:row>
      <xdr:rowOff>1739</xdr:rowOff>
    </xdr:to>
    <mc:AlternateContent xmlns:mc="http://schemas.openxmlformats.org/markup-compatibility/2006" xmlns:sle15="http://schemas.microsoft.com/office/drawing/2012/slicer">
      <mc:Choice Requires="sle15">
        <xdr:graphicFrame macro="">
          <xdr:nvGraphicFramePr>
            <xdr:cNvPr id="13" name="Round of Average">
              <a:extLst>
                <a:ext uri="{FF2B5EF4-FFF2-40B4-BE49-F238E27FC236}">
                  <a16:creationId xmlns:a16="http://schemas.microsoft.com/office/drawing/2014/main" id="{0533C9D1-193D-4C61-A66E-E590EE0D67C5}"/>
                </a:ext>
              </a:extLst>
            </xdr:cNvPr>
            <xdr:cNvGraphicFramePr/>
          </xdr:nvGraphicFramePr>
          <xdr:xfrm>
            <a:off x="0" y="0"/>
            <a:ext cx="0" cy="0"/>
          </xdr:xfrm>
          <a:graphic>
            <a:graphicData uri="http://schemas.microsoft.com/office/drawing/2010/slicer">
              <sle:slicer xmlns:sle="http://schemas.microsoft.com/office/drawing/2010/slicer" name="Round of Average"/>
            </a:graphicData>
          </a:graphic>
        </xdr:graphicFrame>
      </mc:Choice>
      <mc:Fallback xmlns="">
        <xdr:sp macro="" textlink="">
          <xdr:nvSpPr>
            <xdr:cNvPr id="0" name=""/>
            <xdr:cNvSpPr>
              <a:spLocks noTextEdit="1"/>
            </xdr:cNvSpPr>
          </xdr:nvSpPr>
          <xdr:spPr>
            <a:xfrm>
              <a:off x="10942646" y="8717114"/>
              <a:ext cx="1824753"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1617993</xdr:colOff>
      <xdr:row>45</xdr:row>
      <xdr:rowOff>144614</xdr:rowOff>
    </xdr:from>
    <xdr:to>
      <xdr:col>8</xdr:col>
      <xdr:colOff>978121</xdr:colOff>
      <xdr:row>59</xdr:row>
      <xdr:rowOff>1739</xdr:rowOff>
    </xdr:to>
    <mc:AlternateContent xmlns:mc="http://schemas.openxmlformats.org/markup-compatibility/2006" xmlns:sle15="http://schemas.microsoft.com/office/drawing/2012/slicer">
      <mc:Choice Requires="sle15">
        <xdr:graphicFrame macro="">
          <xdr:nvGraphicFramePr>
            <xdr:cNvPr id="14" name="Midterm">
              <a:extLst>
                <a:ext uri="{FF2B5EF4-FFF2-40B4-BE49-F238E27FC236}">
                  <a16:creationId xmlns:a16="http://schemas.microsoft.com/office/drawing/2014/main" id="{1D1C003F-55F9-4FBA-A228-EE062B12E942}"/>
                </a:ext>
              </a:extLst>
            </xdr:cNvPr>
            <xdr:cNvGraphicFramePr/>
          </xdr:nvGraphicFramePr>
          <xdr:xfrm>
            <a:off x="0" y="0"/>
            <a:ext cx="0" cy="0"/>
          </xdr:xfrm>
          <a:graphic>
            <a:graphicData uri="http://schemas.microsoft.com/office/drawing/2010/slicer">
              <sle:slicer xmlns:sle="http://schemas.microsoft.com/office/drawing/2010/slicer" name="Midterm"/>
            </a:graphicData>
          </a:graphic>
        </xdr:graphicFrame>
      </mc:Choice>
      <mc:Fallback xmlns="">
        <xdr:sp macro="" textlink="">
          <xdr:nvSpPr>
            <xdr:cNvPr id="0" name=""/>
            <xdr:cNvSpPr>
              <a:spLocks noTextEdit="1"/>
            </xdr:cNvSpPr>
          </xdr:nvSpPr>
          <xdr:spPr>
            <a:xfrm>
              <a:off x="12767846" y="8717114"/>
              <a:ext cx="1847834"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968025</xdr:colOff>
      <xdr:row>45</xdr:row>
      <xdr:rowOff>144614</xdr:rowOff>
    </xdr:from>
    <xdr:to>
      <xdr:col>9</xdr:col>
      <xdr:colOff>1076330</xdr:colOff>
      <xdr:row>59</xdr:row>
      <xdr:rowOff>1739</xdr:rowOff>
    </xdr:to>
    <mc:AlternateContent xmlns:mc="http://schemas.openxmlformats.org/markup-compatibility/2006" xmlns:sle15="http://schemas.microsoft.com/office/drawing/2012/slicer">
      <mc:Choice Requires="sle15">
        <xdr:graphicFrame macro="">
          <xdr:nvGraphicFramePr>
            <xdr:cNvPr id="15" name="Final">
              <a:extLst>
                <a:ext uri="{FF2B5EF4-FFF2-40B4-BE49-F238E27FC236}">
                  <a16:creationId xmlns:a16="http://schemas.microsoft.com/office/drawing/2014/main" id="{923285AC-5C01-4104-B65C-7AEF47662737}"/>
                </a:ext>
              </a:extLst>
            </xdr:cNvPr>
            <xdr:cNvGraphicFramePr/>
          </xdr:nvGraphicFramePr>
          <xdr:xfrm>
            <a:off x="0" y="0"/>
            <a:ext cx="0" cy="0"/>
          </xdr:xfrm>
          <a:graphic>
            <a:graphicData uri="http://schemas.microsoft.com/office/drawing/2010/slicer">
              <sle:slicer xmlns:sle="http://schemas.microsoft.com/office/drawing/2010/slicer" name="Final"/>
            </a:graphicData>
          </a:graphic>
        </xdr:graphicFrame>
      </mc:Choice>
      <mc:Fallback xmlns="">
        <xdr:sp macro="" textlink="">
          <xdr:nvSpPr>
            <xdr:cNvPr id="0" name=""/>
            <xdr:cNvSpPr>
              <a:spLocks noTextEdit="1"/>
            </xdr:cNvSpPr>
          </xdr:nvSpPr>
          <xdr:spPr>
            <a:xfrm>
              <a:off x="14605584" y="8717114"/>
              <a:ext cx="181159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1074608</xdr:colOff>
      <xdr:row>45</xdr:row>
      <xdr:rowOff>144614</xdr:rowOff>
    </xdr:from>
    <xdr:to>
      <xdr:col>10</xdr:col>
      <xdr:colOff>819813</xdr:colOff>
      <xdr:row>59</xdr:row>
      <xdr:rowOff>1739</xdr:rowOff>
    </xdr:to>
    <mc:AlternateContent xmlns:mc="http://schemas.openxmlformats.org/markup-compatibility/2006" xmlns:sle15="http://schemas.microsoft.com/office/drawing/2012/slicer">
      <mc:Choice Requires="sle15">
        <xdr:graphicFrame macro="">
          <xdr:nvGraphicFramePr>
            <xdr:cNvPr id="16" name="Total">
              <a:extLst>
                <a:ext uri="{FF2B5EF4-FFF2-40B4-BE49-F238E27FC236}">
                  <a16:creationId xmlns:a16="http://schemas.microsoft.com/office/drawing/2014/main" id="{D182914A-FBAB-4B31-A3C3-B90889A491A9}"/>
                </a:ext>
              </a:extLst>
            </xdr:cNvPr>
            <xdr:cNvGraphicFramePr/>
          </xdr:nvGraphicFramePr>
          <xdr:xfrm>
            <a:off x="0" y="0"/>
            <a:ext cx="0" cy="0"/>
          </xdr:xfrm>
          <a:graphic>
            <a:graphicData uri="http://schemas.microsoft.com/office/drawing/2010/slicer">
              <sle:slicer xmlns:sle="http://schemas.microsoft.com/office/drawing/2010/slicer" name="Total"/>
            </a:graphicData>
          </a:graphic>
        </xdr:graphicFrame>
      </mc:Choice>
      <mc:Fallback xmlns="">
        <xdr:sp macro="" textlink="">
          <xdr:nvSpPr>
            <xdr:cNvPr id="0" name=""/>
            <xdr:cNvSpPr>
              <a:spLocks noTextEdit="1"/>
            </xdr:cNvSpPr>
          </xdr:nvSpPr>
          <xdr:spPr>
            <a:xfrm>
              <a:off x="16415461" y="8717114"/>
              <a:ext cx="185191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821109</xdr:colOff>
      <xdr:row>45</xdr:row>
      <xdr:rowOff>144614</xdr:rowOff>
    </xdr:from>
    <xdr:to>
      <xdr:col>10</xdr:col>
      <xdr:colOff>2644389</xdr:colOff>
      <xdr:row>59</xdr:row>
      <xdr:rowOff>1739</xdr:rowOff>
    </xdr:to>
    <mc:AlternateContent xmlns:mc="http://schemas.openxmlformats.org/markup-compatibility/2006" xmlns:sle15="http://schemas.microsoft.com/office/drawing/2012/slicer">
      <mc:Choice Requires="sle15">
        <xdr:graphicFrame macro="">
          <xdr:nvGraphicFramePr>
            <xdr:cNvPr id="17" name="Grade Scale">
              <a:extLst>
                <a:ext uri="{FF2B5EF4-FFF2-40B4-BE49-F238E27FC236}">
                  <a16:creationId xmlns:a16="http://schemas.microsoft.com/office/drawing/2014/main" id="{543777AD-5D3F-49E8-BDE7-6116810BB28D}"/>
                </a:ext>
              </a:extLst>
            </xdr:cNvPr>
            <xdr:cNvGraphicFramePr/>
          </xdr:nvGraphicFramePr>
          <xdr:xfrm>
            <a:off x="0" y="0"/>
            <a:ext cx="0" cy="0"/>
          </xdr:xfrm>
          <a:graphic>
            <a:graphicData uri="http://schemas.microsoft.com/office/drawing/2010/slicer">
              <sle:slicer xmlns:sle="http://schemas.microsoft.com/office/drawing/2010/slicer" name="Grade Scale"/>
            </a:graphicData>
          </a:graphic>
        </xdr:graphicFrame>
      </mc:Choice>
      <mc:Fallback xmlns="">
        <xdr:sp macro="" textlink="">
          <xdr:nvSpPr>
            <xdr:cNvPr id="0" name=""/>
            <xdr:cNvSpPr>
              <a:spLocks noTextEdit="1"/>
            </xdr:cNvSpPr>
          </xdr:nvSpPr>
          <xdr:spPr>
            <a:xfrm>
              <a:off x="18268668" y="8717114"/>
              <a:ext cx="182328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2632992</xdr:colOff>
      <xdr:row>45</xdr:row>
      <xdr:rowOff>144614</xdr:rowOff>
    </xdr:from>
    <xdr:to>
      <xdr:col>11</xdr:col>
      <xdr:colOff>1422684</xdr:colOff>
      <xdr:row>59</xdr:row>
      <xdr:rowOff>1739</xdr:rowOff>
    </xdr:to>
    <mc:AlternateContent xmlns:mc="http://schemas.openxmlformats.org/markup-compatibility/2006" xmlns:sle15="http://schemas.microsoft.com/office/drawing/2012/slicer">
      <mc:Choice Requires="sle15">
        <xdr:graphicFrame macro="">
          <xdr:nvGraphicFramePr>
            <xdr:cNvPr id="18" name="Grade Point 1">
              <a:extLst>
                <a:ext uri="{FF2B5EF4-FFF2-40B4-BE49-F238E27FC236}">
                  <a16:creationId xmlns:a16="http://schemas.microsoft.com/office/drawing/2014/main" id="{A3550AC5-AF66-4382-B454-58E68DFF6BC8}"/>
                </a:ext>
              </a:extLst>
            </xdr:cNvPr>
            <xdr:cNvGraphicFramePr/>
          </xdr:nvGraphicFramePr>
          <xdr:xfrm>
            <a:off x="0" y="0"/>
            <a:ext cx="0" cy="0"/>
          </xdr:xfrm>
          <a:graphic>
            <a:graphicData uri="http://schemas.microsoft.com/office/drawing/2010/slicer">
              <sle:slicer xmlns:sle="http://schemas.microsoft.com/office/drawing/2010/slicer" name="Grade Point 1"/>
            </a:graphicData>
          </a:graphic>
        </xdr:graphicFrame>
      </mc:Choice>
      <mc:Fallback xmlns="">
        <xdr:sp macro="" textlink="">
          <xdr:nvSpPr>
            <xdr:cNvPr id="0" name=""/>
            <xdr:cNvSpPr>
              <a:spLocks noTextEdit="1"/>
            </xdr:cNvSpPr>
          </xdr:nvSpPr>
          <xdr:spPr>
            <a:xfrm>
              <a:off x="20080551" y="8717114"/>
              <a:ext cx="183769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754991</xdr:colOff>
      <xdr:row>92</xdr:row>
      <xdr:rowOff>142988</xdr:rowOff>
    </xdr:from>
    <xdr:to>
      <xdr:col>6</xdr:col>
      <xdr:colOff>1413667</xdr:colOff>
      <xdr:row>106</xdr:row>
      <xdr:rowOff>113</xdr:rowOff>
    </xdr:to>
    <mc:AlternateContent xmlns:mc="http://schemas.openxmlformats.org/markup-compatibility/2006" xmlns:sle15="http://schemas.microsoft.com/office/drawing/2012/slicer">
      <mc:Choice Requires="sle15">
        <xdr:graphicFrame macro="">
          <xdr:nvGraphicFramePr>
            <xdr:cNvPr id="19" name="Roll No 3">
              <a:extLst>
                <a:ext uri="{FF2B5EF4-FFF2-40B4-BE49-F238E27FC236}">
                  <a16:creationId xmlns:a16="http://schemas.microsoft.com/office/drawing/2014/main" id="{B873C03E-5DF9-4F0B-8DBA-EE639B68259B}"/>
                </a:ext>
              </a:extLst>
            </xdr:cNvPr>
            <xdr:cNvGraphicFramePr/>
          </xdr:nvGraphicFramePr>
          <xdr:xfrm>
            <a:off x="0" y="0"/>
            <a:ext cx="0" cy="0"/>
          </xdr:xfrm>
          <a:graphic>
            <a:graphicData uri="http://schemas.microsoft.com/office/drawing/2010/slicer">
              <sle:slicer xmlns:sle="http://schemas.microsoft.com/office/drawing/2010/slicer" name="Roll No 3"/>
            </a:graphicData>
          </a:graphic>
        </xdr:graphicFrame>
      </mc:Choice>
      <mc:Fallback xmlns="">
        <xdr:sp macro="" textlink="">
          <xdr:nvSpPr>
            <xdr:cNvPr id="0" name=""/>
            <xdr:cNvSpPr>
              <a:spLocks noTextEdit="1"/>
            </xdr:cNvSpPr>
          </xdr:nvSpPr>
          <xdr:spPr>
            <a:xfrm>
              <a:off x="9181815" y="17993959"/>
              <a:ext cx="1835293"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1410667</xdr:colOff>
      <xdr:row>92</xdr:row>
      <xdr:rowOff>142988</xdr:rowOff>
    </xdr:from>
    <xdr:to>
      <xdr:col>7</xdr:col>
      <xdr:colOff>1688715</xdr:colOff>
      <xdr:row>106</xdr:row>
      <xdr:rowOff>113</xdr:rowOff>
    </xdr:to>
    <mc:AlternateContent xmlns:mc="http://schemas.openxmlformats.org/markup-compatibility/2006" xmlns:sle15="http://schemas.microsoft.com/office/drawing/2012/slicer">
      <mc:Choice Requires="sle15">
        <xdr:graphicFrame macro="">
          <xdr:nvGraphicFramePr>
            <xdr:cNvPr id="20" name="Round of Average 1">
              <a:extLst>
                <a:ext uri="{FF2B5EF4-FFF2-40B4-BE49-F238E27FC236}">
                  <a16:creationId xmlns:a16="http://schemas.microsoft.com/office/drawing/2014/main" id="{3DFB2F78-AD36-4CF8-A603-47384F0EBDBA}"/>
                </a:ext>
              </a:extLst>
            </xdr:cNvPr>
            <xdr:cNvGraphicFramePr/>
          </xdr:nvGraphicFramePr>
          <xdr:xfrm>
            <a:off x="0" y="0"/>
            <a:ext cx="0" cy="0"/>
          </xdr:xfrm>
          <a:graphic>
            <a:graphicData uri="http://schemas.microsoft.com/office/drawing/2010/slicer">
              <sle:slicer xmlns:sle="http://schemas.microsoft.com/office/drawing/2010/slicer" name="Round of Average 1"/>
            </a:graphicData>
          </a:graphic>
        </xdr:graphicFrame>
      </mc:Choice>
      <mc:Fallback xmlns="">
        <xdr:sp macro="" textlink="">
          <xdr:nvSpPr>
            <xdr:cNvPr id="0" name=""/>
            <xdr:cNvSpPr>
              <a:spLocks noTextEdit="1"/>
            </xdr:cNvSpPr>
          </xdr:nvSpPr>
          <xdr:spPr>
            <a:xfrm>
              <a:off x="11014108" y="17993959"/>
              <a:ext cx="182446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1679822</xdr:colOff>
      <xdr:row>92</xdr:row>
      <xdr:rowOff>142988</xdr:rowOff>
    </xdr:from>
    <xdr:to>
      <xdr:col>8</xdr:col>
      <xdr:colOff>1026708</xdr:colOff>
      <xdr:row>106</xdr:row>
      <xdr:rowOff>113</xdr:rowOff>
    </xdr:to>
    <mc:AlternateContent xmlns:mc="http://schemas.openxmlformats.org/markup-compatibility/2006" xmlns:sle15="http://schemas.microsoft.com/office/drawing/2012/slicer">
      <mc:Choice Requires="sle15">
        <xdr:graphicFrame macro="">
          <xdr:nvGraphicFramePr>
            <xdr:cNvPr id="21" name="Midterm 1">
              <a:extLst>
                <a:ext uri="{FF2B5EF4-FFF2-40B4-BE49-F238E27FC236}">
                  <a16:creationId xmlns:a16="http://schemas.microsoft.com/office/drawing/2014/main" id="{72DC8E00-7132-45BE-BCBF-4242DA98E684}"/>
                </a:ext>
              </a:extLst>
            </xdr:cNvPr>
            <xdr:cNvGraphicFramePr/>
          </xdr:nvGraphicFramePr>
          <xdr:xfrm>
            <a:off x="0" y="0"/>
            <a:ext cx="0" cy="0"/>
          </xdr:xfrm>
          <a:graphic>
            <a:graphicData uri="http://schemas.microsoft.com/office/drawing/2010/slicer">
              <sle:slicer xmlns:sle="http://schemas.microsoft.com/office/drawing/2010/slicer" name="Midterm 1"/>
            </a:graphicData>
          </a:graphic>
        </xdr:graphicFrame>
      </mc:Choice>
      <mc:Fallback xmlns="">
        <xdr:sp macro="" textlink="">
          <xdr:nvSpPr>
            <xdr:cNvPr id="0" name=""/>
            <xdr:cNvSpPr>
              <a:spLocks noTextEdit="1"/>
            </xdr:cNvSpPr>
          </xdr:nvSpPr>
          <xdr:spPr>
            <a:xfrm>
              <a:off x="12829675" y="17993959"/>
              <a:ext cx="183459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1028596</xdr:colOff>
      <xdr:row>92</xdr:row>
      <xdr:rowOff>142988</xdr:rowOff>
    </xdr:from>
    <xdr:to>
      <xdr:col>9</xdr:col>
      <xdr:colOff>1143644</xdr:colOff>
      <xdr:row>106</xdr:row>
      <xdr:rowOff>113</xdr:rowOff>
    </xdr:to>
    <mc:AlternateContent xmlns:mc="http://schemas.openxmlformats.org/markup-compatibility/2006" xmlns:sle15="http://schemas.microsoft.com/office/drawing/2012/slicer">
      <mc:Choice Requires="sle15">
        <xdr:graphicFrame macro="">
          <xdr:nvGraphicFramePr>
            <xdr:cNvPr id="22" name="Final 1">
              <a:extLst>
                <a:ext uri="{FF2B5EF4-FFF2-40B4-BE49-F238E27FC236}">
                  <a16:creationId xmlns:a16="http://schemas.microsoft.com/office/drawing/2014/main" id="{B538E035-F02D-45BB-BD78-77650EA05DB6}"/>
                </a:ext>
              </a:extLst>
            </xdr:cNvPr>
            <xdr:cNvGraphicFramePr/>
          </xdr:nvGraphicFramePr>
          <xdr:xfrm>
            <a:off x="0" y="0"/>
            <a:ext cx="0" cy="0"/>
          </xdr:xfrm>
          <a:graphic>
            <a:graphicData uri="http://schemas.microsoft.com/office/drawing/2010/slicer">
              <sle:slicer xmlns:sle="http://schemas.microsoft.com/office/drawing/2010/slicer" name="Final 1"/>
            </a:graphicData>
          </a:graphic>
        </xdr:graphicFrame>
      </mc:Choice>
      <mc:Fallback xmlns="">
        <xdr:sp macro="" textlink="">
          <xdr:nvSpPr>
            <xdr:cNvPr id="0" name=""/>
            <xdr:cNvSpPr>
              <a:spLocks noTextEdit="1"/>
            </xdr:cNvSpPr>
          </xdr:nvSpPr>
          <xdr:spPr>
            <a:xfrm>
              <a:off x="14666155" y="17993959"/>
              <a:ext cx="18183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1129511</xdr:colOff>
      <xdr:row>92</xdr:row>
      <xdr:rowOff>142988</xdr:rowOff>
    </xdr:from>
    <xdr:to>
      <xdr:col>10</xdr:col>
      <xdr:colOff>881585</xdr:colOff>
      <xdr:row>106</xdr:row>
      <xdr:rowOff>113</xdr:rowOff>
    </xdr:to>
    <mc:AlternateContent xmlns:mc="http://schemas.openxmlformats.org/markup-compatibility/2006" xmlns:sle15="http://schemas.microsoft.com/office/drawing/2012/slicer">
      <mc:Choice Requires="sle15">
        <xdr:graphicFrame macro="">
          <xdr:nvGraphicFramePr>
            <xdr:cNvPr id="23" name="Total 1">
              <a:extLst>
                <a:ext uri="{FF2B5EF4-FFF2-40B4-BE49-F238E27FC236}">
                  <a16:creationId xmlns:a16="http://schemas.microsoft.com/office/drawing/2014/main" id="{32C08993-6628-40CC-8248-9B30ABD97011}"/>
                </a:ext>
              </a:extLst>
            </xdr:cNvPr>
            <xdr:cNvGraphicFramePr/>
          </xdr:nvGraphicFramePr>
          <xdr:xfrm>
            <a:off x="0" y="0"/>
            <a:ext cx="0" cy="0"/>
          </xdr:xfrm>
          <a:graphic>
            <a:graphicData uri="http://schemas.microsoft.com/office/drawing/2010/slicer">
              <sle:slicer xmlns:sle="http://schemas.microsoft.com/office/drawing/2010/slicer" name="Total 1"/>
            </a:graphicData>
          </a:graphic>
        </xdr:graphicFrame>
      </mc:Choice>
      <mc:Fallback xmlns="">
        <xdr:sp macro="" textlink="">
          <xdr:nvSpPr>
            <xdr:cNvPr id="0" name=""/>
            <xdr:cNvSpPr>
              <a:spLocks noTextEdit="1"/>
            </xdr:cNvSpPr>
          </xdr:nvSpPr>
          <xdr:spPr>
            <a:xfrm>
              <a:off x="16470364" y="17993959"/>
              <a:ext cx="185878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875108</xdr:colOff>
      <xdr:row>92</xdr:row>
      <xdr:rowOff>142988</xdr:rowOff>
    </xdr:from>
    <xdr:to>
      <xdr:col>10</xdr:col>
      <xdr:colOff>2700084</xdr:colOff>
      <xdr:row>106</xdr:row>
      <xdr:rowOff>113</xdr:rowOff>
    </xdr:to>
    <mc:AlternateContent xmlns:mc="http://schemas.openxmlformats.org/markup-compatibility/2006" xmlns:sle15="http://schemas.microsoft.com/office/drawing/2012/slicer">
      <mc:Choice Requires="sle15">
        <xdr:graphicFrame macro="">
          <xdr:nvGraphicFramePr>
            <xdr:cNvPr id="24" name="Grade Scale 1">
              <a:extLst>
                <a:ext uri="{FF2B5EF4-FFF2-40B4-BE49-F238E27FC236}">
                  <a16:creationId xmlns:a16="http://schemas.microsoft.com/office/drawing/2014/main" id="{13E5730A-F02F-4EF3-897B-BD5F2617E057}"/>
                </a:ext>
              </a:extLst>
            </xdr:cNvPr>
            <xdr:cNvGraphicFramePr/>
          </xdr:nvGraphicFramePr>
          <xdr:xfrm>
            <a:off x="0" y="0"/>
            <a:ext cx="0" cy="0"/>
          </xdr:xfrm>
          <a:graphic>
            <a:graphicData uri="http://schemas.microsoft.com/office/drawing/2010/slicer">
              <sle:slicer xmlns:sle="http://schemas.microsoft.com/office/drawing/2010/slicer" name="Grade Scale 1"/>
            </a:graphicData>
          </a:graphic>
        </xdr:graphicFrame>
      </mc:Choice>
      <mc:Fallback xmlns="">
        <xdr:sp macro="" textlink="">
          <xdr:nvSpPr>
            <xdr:cNvPr id="0" name=""/>
            <xdr:cNvSpPr>
              <a:spLocks noTextEdit="1"/>
            </xdr:cNvSpPr>
          </xdr:nvSpPr>
          <xdr:spPr>
            <a:xfrm>
              <a:off x="18322667" y="17993959"/>
              <a:ext cx="182497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2696563</xdr:colOff>
      <xdr:row>92</xdr:row>
      <xdr:rowOff>142988</xdr:rowOff>
    </xdr:from>
    <xdr:to>
      <xdr:col>11</xdr:col>
      <xdr:colOff>1482709</xdr:colOff>
      <xdr:row>106</xdr:row>
      <xdr:rowOff>113</xdr:rowOff>
    </xdr:to>
    <mc:AlternateContent xmlns:mc="http://schemas.openxmlformats.org/markup-compatibility/2006" xmlns:sle15="http://schemas.microsoft.com/office/drawing/2012/slicer">
      <mc:Choice Requires="sle15">
        <xdr:graphicFrame macro="">
          <xdr:nvGraphicFramePr>
            <xdr:cNvPr id="25" name="Grade Point 2">
              <a:extLst>
                <a:ext uri="{FF2B5EF4-FFF2-40B4-BE49-F238E27FC236}">
                  <a16:creationId xmlns:a16="http://schemas.microsoft.com/office/drawing/2014/main" id="{0C5C397A-C71F-492C-B8D7-F2B5DCB71A67}"/>
                </a:ext>
              </a:extLst>
            </xdr:cNvPr>
            <xdr:cNvGraphicFramePr/>
          </xdr:nvGraphicFramePr>
          <xdr:xfrm>
            <a:off x="0" y="0"/>
            <a:ext cx="0" cy="0"/>
          </xdr:xfrm>
          <a:graphic>
            <a:graphicData uri="http://schemas.microsoft.com/office/drawing/2010/slicer">
              <sle:slicer xmlns:sle="http://schemas.microsoft.com/office/drawing/2010/slicer" name="Grade Point 2"/>
            </a:graphicData>
          </a:graphic>
        </xdr:graphicFrame>
      </mc:Choice>
      <mc:Fallback xmlns="">
        <xdr:sp macro="" textlink="">
          <xdr:nvSpPr>
            <xdr:cNvPr id="0" name=""/>
            <xdr:cNvSpPr>
              <a:spLocks noTextEdit="1"/>
            </xdr:cNvSpPr>
          </xdr:nvSpPr>
          <xdr:spPr>
            <a:xfrm>
              <a:off x="20144122" y="17993959"/>
              <a:ext cx="183414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730557</xdr:colOff>
      <xdr:row>139</xdr:row>
      <xdr:rowOff>143008</xdr:rowOff>
    </xdr:from>
    <xdr:to>
      <xdr:col>6</xdr:col>
      <xdr:colOff>1389233</xdr:colOff>
      <xdr:row>153</xdr:row>
      <xdr:rowOff>133</xdr:rowOff>
    </xdr:to>
    <mc:AlternateContent xmlns:mc="http://schemas.openxmlformats.org/markup-compatibility/2006" xmlns:sle15="http://schemas.microsoft.com/office/drawing/2012/slicer">
      <mc:Choice Requires="sle15">
        <xdr:graphicFrame macro="">
          <xdr:nvGraphicFramePr>
            <xdr:cNvPr id="26" name="Roll No 4">
              <a:extLst>
                <a:ext uri="{FF2B5EF4-FFF2-40B4-BE49-F238E27FC236}">
                  <a16:creationId xmlns:a16="http://schemas.microsoft.com/office/drawing/2014/main" id="{FDB96A7B-0E24-4764-A4CF-F5269D979C4D}"/>
                </a:ext>
              </a:extLst>
            </xdr:cNvPr>
            <xdr:cNvGraphicFramePr/>
          </xdr:nvGraphicFramePr>
          <xdr:xfrm>
            <a:off x="0" y="0"/>
            <a:ext cx="0" cy="0"/>
          </xdr:xfrm>
          <a:graphic>
            <a:graphicData uri="http://schemas.microsoft.com/office/drawing/2010/slicer">
              <sle:slicer xmlns:sle="http://schemas.microsoft.com/office/drawing/2010/slicer" name="Roll No 4"/>
            </a:graphicData>
          </a:graphic>
        </xdr:graphicFrame>
      </mc:Choice>
      <mc:Fallback xmlns="">
        <xdr:sp macro="" textlink="">
          <xdr:nvSpPr>
            <xdr:cNvPr id="0" name=""/>
            <xdr:cNvSpPr>
              <a:spLocks noTextEdit="1"/>
            </xdr:cNvSpPr>
          </xdr:nvSpPr>
          <xdr:spPr>
            <a:xfrm>
              <a:off x="9157381" y="27261243"/>
              <a:ext cx="1835293"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1387498</xdr:colOff>
      <xdr:row>139</xdr:row>
      <xdr:rowOff>143008</xdr:rowOff>
    </xdr:from>
    <xdr:to>
      <xdr:col>7</xdr:col>
      <xdr:colOff>1659466</xdr:colOff>
      <xdr:row>153</xdr:row>
      <xdr:rowOff>133</xdr:rowOff>
    </xdr:to>
    <mc:AlternateContent xmlns:mc="http://schemas.openxmlformats.org/markup-compatibility/2006" xmlns:sle15="http://schemas.microsoft.com/office/drawing/2012/slicer">
      <mc:Choice Requires="sle15">
        <xdr:graphicFrame macro="">
          <xdr:nvGraphicFramePr>
            <xdr:cNvPr id="27" name="Round of Average 2">
              <a:extLst>
                <a:ext uri="{FF2B5EF4-FFF2-40B4-BE49-F238E27FC236}">
                  <a16:creationId xmlns:a16="http://schemas.microsoft.com/office/drawing/2014/main" id="{DD624B2C-21AC-49E6-8D55-98375B1DAD03}"/>
                </a:ext>
              </a:extLst>
            </xdr:cNvPr>
            <xdr:cNvGraphicFramePr/>
          </xdr:nvGraphicFramePr>
          <xdr:xfrm>
            <a:off x="0" y="0"/>
            <a:ext cx="0" cy="0"/>
          </xdr:xfrm>
          <a:graphic>
            <a:graphicData uri="http://schemas.microsoft.com/office/drawing/2010/slicer">
              <sle:slicer xmlns:sle="http://schemas.microsoft.com/office/drawing/2010/slicer" name="Round of Average 2"/>
            </a:graphicData>
          </a:graphic>
        </xdr:graphicFrame>
      </mc:Choice>
      <mc:Fallback xmlns="">
        <xdr:sp macro="" textlink="">
          <xdr:nvSpPr>
            <xdr:cNvPr id="0" name=""/>
            <xdr:cNvSpPr>
              <a:spLocks noTextEdit="1"/>
            </xdr:cNvSpPr>
          </xdr:nvSpPr>
          <xdr:spPr>
            <a:xfrm>
              <a:off x="10990939" y="27261243"/>
              <a:ext cx="181838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1643082</xdr:colOff>
      <xdr:row>139</xdr:row>
      <xdr:rowOff>143008</xdr:rowOff>
    </xdr:from>
    <xdr:to>
      <xdr:col>8</xdr:col>
      <xdr:colOff>1005324</xdr:colOff>
      <xdr:row>153</xdr:row>
      <xdr:rowOff>133</xdr:rowOff>
    </xdr:to>
    <mc:AlternateContent xmlns:mc="http://schemas.openxmlformats.org/markup-compatibility/2006" xmlns:sle15="http://schemas.microsoft.com/office/drawing/2012/slicer">
      <mc:Choice Requires="sle15">
        <xdr:graphicFrame macro="">
          <xdr:nvGraphicFramePr>
            <xdr:cNvPr id="28" name="Midterm 2">
              <a:extLst>
                <a:ext uri="{FF2B5EF4-FFF2-40B4-BE49-F238E27FC236}">
                  <a16:creationId xmlns:a16="http://schemas.microsoft.com/office/drawing/2014/main" id="{08B09E42-3B81-4648-BE77-631CED57DFF6}"/>
                </a:ext>
              </a:extLst>
            </xdr:cNvPr>
            <xdr:cNvGraphicFramePr/>
          </xdr:nvGraphicFramePr>
          <xdr:xfrm>
            <a:off x="0" y="0"/>
            <a:ext cx="0" cy="0"/>
          </xdr:xfrm>
          <a:graphic>
            <a:graphicData uri="http://schemas.microsoft.com/office/drawing/2010/slicer">
              <sle:slicer xmlns:sle="http://schemas.microsoft.com/office/drawing/2010/slicer" name="Midterm 2"/>
            </a:graphicData>
          </a:graphic>
        </xdr:graphicFrame>
      </mc:Choice>
      <mc:Fallback xmlns="">
        <xdr:sp macro="" textlink="">
          <xdr:nvSpPr>
            <xdr:cNvPr id="0" name=""/>
            <xdr:cNvSpPr>
              <a:spLocks noTextEdit="1"/>
            </xdr:cNvSpPr>
          </xdr:nvSpPr>
          <xdr:spPr>
            <a:xfrm>
              <a:off x="12792935" y="27261243"/>
              <a:ext cx="184994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1003589</xdr:colOff>
      <xdr:row>139</xdr:row>
      <xdr:rowOff>143008</xdr:rowOff>
    </xdr:from>
    <xdr:to>
      <xdr:col>9</xdr:col>
      <xdr:colOff>1121337</xdr:colOff>
      <xdr:row>153</xdr:row>
      <xdr:rowOff>133</xdr:rowOff>
    </xdr:to>
    <mc:AlternateContent xmlns:mc="http://schemas.openxmlformats.org/markup-compatibility/2006" xmlns:sle15="http://schemas.microsoft.com/office/drawing/2012/slicer">
      <mc:Choice Requires="sle15">
        <xdr:graphicFrame macro="">
          <xdr:nvGraphicFramePr>
            <xdr:cNvPr id="29" name="Final 2">
              <a:extLst>
                <a:ext uri="{FF2B5EF4-FFF2-40B4-BE49-F238E27FC236}">
                  <a16:creationId xmlns:a16="http://schemas.microsoft.com/office/drawing/2014/main" id="{B61C812B-356C-49CC-8B77-FA120C13FFE9}"/>
                </a:ext>
              </a:extLst>
            </xdr:cNvPr>
            <xdr:cNvGraphicFramePr/>
          </xdr:nvGraphicFramePr>
          <xdr:xfrm>
            <a:off x="0" y="0"/>
            <a:ext cx="0" cy="0"/>
          </xdr:xfrm>
          <a:graphic>
            <a:graphicData uri="http://schemas.microsoft.com/office/drawing/2010/slicer">
              <sle:slicer xmlns:sle="http://schemas.microsoft.com/office/drawing/2010/slicer" name="Final 2"/>
            </a:graphicData>
          </a:graphic>
        </xdr:graphicFrame>
      </mc:Choice>
      <mc:Fallback xmlns="">
        <xdr:sp macro="" textlink="">
          <xdr:nvSpPr>
            <xdr:cNvPr id="0" name=""/>
            <xdr:cNvSpPr>
              <a:spLocks noTextEdit="1"/>
            </xdr:cNvSpPr>
          </xdr:nvSpPr>
          <xdr:spPr>
            <a:xfrm>
              <a:off x="14641148" y="27261243"/>
              <a:ext cx="18210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1121604</xdr:colOff>
      <xdr:row>139</xdr:row>
      <xdr:rowOff>143008</xdr:rowOff>
    </xdr:from>
    <xdr:to>
      <xdr:col>10</xdr:col>
      <xdr:colOff>874808</xdr:colOff>
      <xdr:row>153</xdr:row>
      <xdr:rowOff>133</xdr:rowOff>
    </xdr:to>
    <mc:AlternateContent xmlns:mc="http://schemas.openxmlformats.org/markup-compatibility/2006" xmlns:sle15="http://schemas.microsoft.com/office/drawing/2012/slicer">
      <mc:Choice Requires="sle15">
        <xdr:graphicFrame macro="">
          <xdr:nvGraphicFramePr>
            <xdr:cNvPr id="30" name="Total 2">
              <a:extLst>
                <a:ext uri="{FF2B5EF4-FFF2-40B4-BE49-F238E27FC236}">
                  <a16:creationId xmlns:a16="http://schemas.microsoft.com/office/drawing/2014/main" id="{C2203512-1AF3-43A3-8C12-5290A4E4A149}"/>
                </a:ext>
              </a:extLst>
            </xdr:cNvPr>
            <xdr:cNvGraphicFramePr/>
          </xdr:nvGraphicFramePr>
          <xdr:xfrm>
            <a:off x="0" y="0"/>
            <a:ext cx="0" cy="0"/>
          </xdr:xfrm>
          <a:graphic>
            <a:graphicData uri="http://schemas.microsoft.com/office/drawing/2010/slicer">
              <sle:slicer xmlns:sle="http://schemas.microsoft.com/office/drawing/2010/slicer" name="Total 2"/>
            </a:graphicData>
          </a:graphic>
        </xdr:graphicFrame>
      </mc:Choice>
      <mc:Fallback xmlns="">
        <xdr:sp macro="" textlink="">
          <xdr:nvSpPr>
            <xdr:cNvPr id="0" name=""/>
            <xdr:cNvSpPr>
              <a:spLocks noTextEdit="1"/>
            </xdr:cNvSpPr>
          </xdr:nvSpPr>
          <xdr:spPr>
            <a:xfrm>
              <a:off x="16462457" y="27261243"/>
              <a:ext cx="185991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875080</xdr:colOff>
      <xdr:row>139</xdr:row>
      <xdr:rowOff>143008</xdr:rowOff>
    </xdr:from>
    <xdr:to>
      <xdr:col>10</xdr:col>
      <xdr:colOff>2701803</xdr:colOff>
      <xdr:row>153</xdr:row>
      <xdr:rowOff>133</xdr:rowOff>
    </xdr:to>
    <mc:AlternateContent xmlns:mc="http://schemas.openxmlformats.org/markup-compatibility/2006" xmlns:sle15="http://schemas.microsoft.com/office/drawing/2012/slicer">
      <mc:Choice Requires="sle15">
        <xdr:graphicFrame macro="">
          <xdr:nvGraphicFramePr>
            <xdr:cNvPr id="31" name="Grade Scale 2">
              <a:extLst>
                <a:ext uri="{FF2B5EF4-FFF2-40B4-BE49-F238E27FC236}">
                  <a16:creationId xmlns:a16="http://schemas.microsoft.com/office/drawing/2014/main" id="{C53C5873-58DD-489B-B151-638BE8FE1019}"/>
                </a:ext>
              </a:extLst>
            </xdr:cNvPr>
            <xdr:cNvGraphicFramePr/>
          </xdr:nvGraphicFramePr>
          <xdr:xfrm>
            <a:off x="0" y="0"/>
            <a:ext cx="0" cy="0"/>
          </xdr:xfrm>
          <a:graphic>
            <a:graphicData uri="http://schemas.microsoft.com/office/drawing/2010/slicer">
              <sle:slicer xmlns:sle="http://schemas.microsoft.com/office/drawing/2010/slicer" name="Grade Scale 2"/>
            </a:graphicData>
          </a:graphic>
        </xdr:graphicFrame>
      </mc:Choice>
      <mc:Fallback xmlns="">
        <xdr:sp macro="" textlink="">
          <xdr:nvSpPr>
            <xdr:cNvPr id="0" name=""/>
            <xdr:cNvSpPr>
              <a:spLocks noTextEdit="1"/>
            </xdr:cNvSpPr>
          </xdr:nvSpPr>
          <xdr:spPr>
            <a:xfrm>
              <a:off x="18322639" y="27261243"/>
              <a:ext cx="1826723"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2704025</xdr:colOff>
      <xdr:row>139</xdr:row>
      <xdr:rowOff>143008</xdr:rowOff>
    </xdr:from>
    <xdr:to>
      <xdr:col>11</xdr:col>
      <xdr:colOff>1499126</xdr:colOff>
      <xdr:row>153</xdr:row>
      <xdr:rowOff>133</xdr:rowOff>
    </xdr:to>
    <mc:AlternateContent xmlns:mc="http://schemas.openxmlformats.org/markup-compatibility/2006" xmlns:sle15="http://schemas.microsoft.com/office/drawing/2012/slicer">
      <mc:Choice Requires="sle15">
        <xdr:graphicFrame macro="">
          <xdr:nvGraphicFramePr>
            <xdr:cNvPr id="32" name="Grade Point 3">
              <a:extLst>
                <a:ext uri="{FF2B5EF4-FFF2-40B4-BE49-F238E27FC236}">
                  <a16:creationId xmlns:a16="http://schemas.microsoft.com/office/drawing/2014/main" id="{CA36475E-5276-4C7B-80DA-6180C3530155}"/>
                </a:ext>
              </a:extLst>
            </xdr:cNvPr>
            <xdr:cNvGraphicFramePr/>
          </xdr:nvGraphicFramePr>
          <xdr:xfrm>
            <a:off x="0" y="0"/>
            <a:ext cx="0" cy="0"/>
          </xdr:xfrm>
          <a:graphic>
            <a:graphicData uri="http://schemas.microsoft.com/office/drawing/2010/slicer">
              <sle:slicer xmlns:sle="http://schemas.microsoft.com/office/drawing/2010/slicer" name="Grade Point 3"/>
            </a:graphicData>
          </a:graphic>
        </xdr:graphicFrame>
      </mc:Choice>
      <mc:Fallback xmlns="">
        <xdr:sp macro="" textlink="">
          <xdr:nvSpPr>
            <xdr:cNvPr id="0" name=""/>
            <xdr:cNvSpPr>
              <a:spLocks noTextEdit="1"/>
            </xdr:cNvSpPr>
          </xdr:nvSpPr>
          <xdr:spPr>
            <a:xfrm>
              <a:off x="20151584" y="27261243"/>
              <a:ext cx="184310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708190</xdr:colOff>
      <xdr:row>186</xdr:row>
      <xdr:rowOff>144001</xdr:rowOff>
    </xdr:from>
    <xdr:to>
      <xdr:col>6</xdr:col>
      <xdr:colOff>1370577</xdr:colOff>
      <xdr:row>200</xdr:row>
      <xdr:rowOff>1126</xdr:rowOff>
    </xdr:to>
    <mc:AlternateContent xmlns:mc="http://schemas.openxmlformats.org/markup-compatibility/2006" xmlns:sle15="http://schemas.microsoft.com/office/drawing/2012/slicer">
      <mc:Choice Requires="sle15">
        <xdr:graphicFrame macro="">
          <xdr:nvGraphicFramePr>
            <xdr:cNvPr id="6" name="Roll No 5">
              <a:extLst>
                <a:ext uri="{FF2B5EF4-FFF2-40B4-BE49-F238E27FC236}">
                  <a16:creationId xmlns:a16="http://schemas.microsoft.com/office/drawing/2014/main" id="{1B49C40D-99A5-4905-BD0D-7B6809194272}"/>
                </a:ext>
              </a:extLst>
            </xdr:cNvPr>
            <xdr:cNvGraphicFramePr/>
          </xdr:nvGraphicFramePr>
          <xdr:xfrm>
            <a:off x="0" y="0"/>
            <a:ext cx="0" cy="0"/>
          </xdr:xfrm>
          <a:graphic>
            <a:graphicData uri="http://schemas.microsoft.com/office/drawing/2010/slicer">
              <sle:slicer xmlns:sle="http://schemas.microsoft.com/office/drawing/2010/slicer" name="Roll No 5"/>
            </a:graphicData>
          </a:graphic>
        </xdr:graphicFrame>
      </mc:Choice>
      <mc:Fallback xmlns="">
        <xdr:sp macro="" textlink="">
          <xdr:nvSpPr>
            <xdr:cNvPr id="0" name=""/>
            <xdr:cNvSpPr>
              <a:spLocks noTextEdit="1"/>
            </xdr:cNvSpPr>
          </xdr:nvSpPr>
          <xdr:spPr>
            <a:xfrm>
              <a:off x="9135014" y="36540707"/>
              <a:ext cx="1839004"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1371710</xdr:colOff>
      <xdr:row>186</xdr:row>
      <xdr:rowOff>144001</xdr:rowOff>
    </xdr:from>
    <xdr:to>
      <xdr:col>7</xdr:col>
      <xdr:colOff>1644357</xdr:colOff>
      <xdr:row>200</xdr:row>
      <xdr:rowOff>1126</xdr:rowOff>
    </xdr:to>
    <mc:AlternateContent xmlns:mc="http://schemas.openxmlformats.org/markup-compatibility/2006" xmlns:sle15="http://schemas.microsoft.com/office/drawing/2012/slicer">
      <mc:Choice Requires="sle15">
        <xdr:graphicFrame macro="">
          <xdr:nvGraphicFramePr>
            <xdr:cNvPr id="7" name="Round of Average 3">
              <a:extLst>
                <a:ext uri="{FF2B5EF4-FFF2-40B4-BE49-F238E27FC236}">
                  <a16:creationId xmlns:a16="http://schemas.microsoft.com/office/drawing/2014/main" id="{BC11A154-D5AA-40C4-BFF5-202146ADDEDA}"/>
                </a:ext>
              </a:extLst>
            </xdr:cNvPr>
            <xdr:cNvGraphicFramePr/>
          </xdr:nvGraphicFramePr>
          <xdr:xfrm>
            <a:off x="0" y="0"/>
            <a:ext cx="0" cy="0"/>
          </xdr:xfrm>
          <a:graphic>
            <a:graphicData uri="http://schemas.microsoft.com/office/drawing/2010/slicer">
              <sle:slicer xmlns:sle="http://schemas.microsoft.com/office/drawing/2010/slicer" name="Round of Average 3"/>
            </a:graphicData>
          </a:graphic>
        </xdr:graphicFrame>
      </mc:Choice>
      <mc:Fallback xmlns="">
        <xdr:sp macro="" textlink="">
          <xdr:nvSpPr>
            <xdr:cNvPr id="0" name=""/>
            <xdr:cNvSpPr>
              <a:spLocks noTextEdit="1"/>
            </xdr:cNvSpPr>
          </xdr:nvSpPr>
          <xdr:spPr>
            <a:xfrm>
              <a:off x="10975151" y="36540707"/>
              <a:ext cx="181905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1641275</xdr:colOff>
      <xdr:row>186</xdr:row>
      <xdr:rowOff>144001</xdr:rowOff>
    </xdr:from>
    <xdr:to>
      <xdr:col>8</xdr:col>
      <xdr:colOff>1005712</xdr:colOff>
      <xdr:row>200</xdr:row>
      <xdr:rowOff>1126</xdr:rowOff>
    </xdr:to>
    <mc:AlternateContent xmlns:mc="http://schemas.openxmlformats.org/markup-compatibility/2006" xmlns:sle15="http://schemas.microsoft.com/office/drawing/2012/slicer">
      <mc:Choice Requires="sle15">
        <xdr:graphicFrame macro="">
          <xdr:nvGraphicFramePr>
            <xdr:cNvPr id="8" name="Assignment">
              <a:extLst>
                <a:ext uri="{FF2B5EF4-FFF2-40B4-BE49-F238E27FC236}">
                  <a16:creationId xmlns:a16="http://schemas.microsoft.com/office/drawing/2014/main" id="{AF67048E-D771-4115-BC32-CB4BD806E09B}"/>
                </a:ext>
              </a:extLst>
            </xdr:cNvPr>
            <xdr:cNvGraphicFramePr/>
          </xdr:nvGraphicFramePr>
          <xdr:xfrm>
            <a:off x="0" y="0"/>
            <a:ext cx="0" cy="0"/>
          </xdr:xfrm>
          <a:graphic>
            <a:graphicData uri="http://schemas.microsoft.com/office/drawing/2010/slicer">
              <sle:slicer xmlns:sle="http://schemas.microsoft.com/office/drawing/2010/slicer" name="Assignment"/>
            </a:graphicData>
          </a:graphic>
        </xdr:graphicFrame>
      </mc:Choice>
      <mc:Fallback xmlns="">
        <xdr:sp macro="" textlink="">
          <xdr:nvSpPr>
            <xdr:cNvPr id="0" name=""/>
            <xdr:cNvSpPr>
              <a:spLocks noTextEdit="1"/>
            </xdr:cNvSpPr>
          </xdr:nvSpPr>
          <xdr:spPr>
            <a:xfrm>
              <a:off x="12791128" y="36540707"/>
              <a:ext cx="1852143"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1005030</xdr:colOff>
      <xdr:row>186</xdr:row>
      <xdr:rowOff>144001</xdr:rowOff>
    </xdr:from>
    <xdr:to>
      <xdr:col>9</xdr:col>
      <xdr:colOff>1106654</xdr:colOff>
      <xdr:row>200</xdr:row>
      <xdr:rowOff>1126</xdr:rowOff>
    </xdr:to>
    <mc:AlternateContent xmlns:mc="http://schemas.openxmlformats.org/markup-compatibility/2006" xmlns:sle15="http://schemas.microsoft.com/office/drawing/2012/slicer">
      <mc:Choice Requires="sle15">
        <xdr:graphicFrame macro="">
          <xdr:nvGraphicFramePr>
            <xdr:cNvPr id="9" name="Final 3">
              <a:extLst>
                <a:ext uri="{FF2B5EF4-FFF2-40B4-BE49-F238E27FC236}">
                  <a16:creationId xmlns:a16="http://schemas.microsoft.com/office/drawing/2014/main" id="{80F20B76-95C4-458D-8388-6C30AD589E98}"/>
                </a:ext>
              </a:extLst>
            </xdr:cNvPr>
            <xdr:cNvGraphicFramePr/>
          </xdr:nvGraphicFramePr>
          <xdr:xfrm>
            <a:off x="0" y="0"/>
            <a:ext cx="0" cy="0"/>
          </xdr:xfrm>
          <a:graphic>
            <a:graphicData uri="http://schemas.microsoft.com/office/drawing/2010/slicer">
              <sle:slicer xmlns:sle="http://schemas.microsoft.com/office/drawing/2010/slicer" name="Final 3"/>
            </a:graphicData>
          </a:graphic>
        </xdr:graphicFrame>
      </mc:Choice>
      <mc:Fallback xmlns="">
        <xdr:sp macro="" textlink="">
          <xdr:nvSpPr>
            <xdr:cNvPr id="0" name=""/>
            <xdr:cNvSpPr>
              <a:spLocks noTextEdit="1"/>
            </xdr:cNvSpPr>
          </xdr:nvSpPr>
          <xdr:spPr>
            <a:xfrm>
              <a:off x="14642589" y="36540707"/>
              <a:ext cx="180491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1112672</xdr:colOff>
      <xdr:row>186</xdr:row>
      <xdr:rowOff>144001</xdr:rowOff>
    </xdr:from>
    <xdr:to>
      <xdr:col>10</xdr:col>
      <xdr:colOff>862903</xdr:colOff>
      <xdr:row>200</xdr:row>
      <xdr:rowOff>1126</xdr:rowOff>
    </xdr:to>
    <mc:AlternateContent xmlns:mc="http://schemas.openxmlformats.org/markup-compatibility/2006" xmlns:sle15="http://schemas.microsoft.com/office/drawing/2012/slicer">
      <mc:Choice Requires="sle15">
        <xdr:graphicFrame macro="">
          <xdr:nvGraphicFramePr>
            <xdr:cNvPr id="10" name="Total 3">
              <a:extLst>
                <a:ext uri="{FF2B5EF4-FFF2-40B4-BE49-F238E27FC236}">
                  <a16:creationId xmlns:a16="http://schemas.microsoft.com/office/drawing/2014/main" id="{FB15E207-18C2-4B39-A89F-69EA81061217}"/>
                </a:ext>
              </a:extLst>
            </xdr:cNvPr>
            <xdr:cNvGraphicFramePr/>
          </xdr:nvGraphicFramePr>
          <xdr:xfrm>
            <a:off x="0" y="0"/>
            <a:ext cx="0" cy="0"/>
          </xdr:xfrm>
          <a:graphic>
            <a:graphicData uri="http://schemas.microsoft.com/office/drawing/2010/slicer">
              <sle:slicer xmlns:sle="http://schemas.microsoft.com/office/drawing/2010/slicer" name="Total 3"/>
            </a:graphicData>
          </a:graphic>
        </xdr:graphicFrame>
      </mc:Choice>
      <mc:Fallback xmlns="">
        <xdr:sp macro="" textlink="">
          <xdr:nvSpPr>
            <xdr:cNvPr id="0" name=""/>
            <xdr:cNvSpPr>
              <a:spLocks noTextEdit="1"/>
            </xdr:cNvSpPr>
          </xdr:nvSpPr>
          <xdr:spPr>
            <a:xfrm>
              <a:off x="16453525" y="36540707"/>
              <a:ext cx="185693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863614</xdr:colOff>
      <xdr:row>186</xdr:row>
      <xdr:rowOff>144001</xdr:rowOff>
    </xdr:from>
    <xdr:to>
      <xdr:col>10</xdr:col>
      <xdr:colOff>2689956</xdr:colOff>
      <xdr:row>200</xdr:row>
      <xdr:rowOff>1126</xdr:rowOff>
    </xdr:to>
    <mc:AlternateContent xmlns:mc="http://schemas.openxmlformats.org/markup-compatibility/2006" xmlns:sle15="http://schemas.microsoft.com/office/drawing/2012/slicer">
      <mc:Choice Requires="sle15">
        <xdr:graphicFrame macro="">
          <xdr:nvGraphicFramePr>
            <xdr:cNvPr id="11" name="Grade Scale 3">
              <a:extLst>
                <a:ext uri="{FF2B5EF4-FFF2-40B4-BE49-F238E27FC236}">
                  <a16:creationId xmlns:a16="http://schemas.microsoft.com/office/drawing/2014/main" id="{F8BC9E91-EAF5-4A6A-807E-E7BECF18B3C7}"/>
                </a:ext>
              </a:extLst>
            </xdr:cNvPr>
            <xdr:cNvGraphicFramePr/>
          </xdr:nvGraphicFramePr>
          <xdr:xfrm>
            <a:off x="0" y="0"/>
            <a:ext cx="0" cy="0"/>
          </xdr:xfrm>
          <a:graphic>
            <a:graphicData uri="http://schemas.microsoft.com/office/drawing/2010/slicer">
              <sle:slicer xmlns:sle="http://schemas.microsoft.com/office/drawing/2010/slicer" name="Grade Scale 3"/>
            </a:graphicData>
          </a:graphic>
        </xdr:graphicFrame>
      </mc:Choice>
      <mc:Fallback xmlns="">
        <xdr:sp macro="" textlink="">
          <xdr:nvSpPr>
            <xdr:cNvPr id="0" name=""/>
            <xdr:cNvSpPr>
              <a:spLocks noTextEdit="1"/>
            </xdr:cNvSpPr>
          </xdr:nvSpPr>
          <xdr:spPr>
            <a:xfrm>
              <a:off x="18311173" y="36540707"/>
              <a:ext cx="18263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2686072</xdr:colOff>
      <xdr:row>186</xdr:row>
      <xdr:rowOff>144001</xdr:rowOff>
    </xdr:from>
    <xdr:to>
      <xdr:col>11</xdr:col>
      <xdr:colOff>1467120</xdr:colOff>
      <xdr:row>200</xdr:row>
      <xdr:rowOff>1126</xdr:rowOff>
    </xdr:to>
    <mc:AlternateContent xmlns:mc="http://schemas.openxmlformats.org/markup-compatibility/2006" xmlns:sle15="http://schemas.microsoft.com/office/drawing/2012/slicer">
      <mc:Choice Requires="sle15">
        <xdr:graphicFrame macro="">
          <xdr:nvGraphicFramePr>
            <xdr:cNvPr id="33" name="Grade Point 4">
              <a:extLst>
                <a:ext uri="{FF2B5EF4-FFF2-40B4-BE49-F238E27FC236}">
                  <a16:creationId xmlns:a16="http://schemas.microsoft.com/office/drawing/2014/main" id="{1B2D5FFC-E21C-4047-A795-85EBEB5D8D27}"/>
                </a:ext>
              </a:extLst>
            </xdr:cNvPr>
            <xdr:cNvGraphicFramePr/>
          </xdr:nvGraphicFramePr>
          <xdr:xfrm>
            <a:off x="0" y="0"/>
            <a:ext cx="0" cy="0"/>
          </xdr:xfrm>
          <a:graphic>
            <a:graphicData uri="http://schemas.microsoft.com/office/drawing/2010/slicer">
              <sle:slicer xmlns:sle="http://schemas.microsoft.com/office/drawing/2010/slicer" name="Grade Point 4"/>
            </a:graphicData>
          </a:graphic>
        </xdr:graphicFrame>
      </mc:Choice>
      <mc:Fallback xmlns="">
        <xdr:sp macro="" textlink="">
          <xdr:nvSpPr>
            <xdr:cNvPr id="0" name=""/>
            <xdr:cNvSpPr>
              <a:spLocks noTextEdit="1"/>
            </xdr:cNvSpPr>
          </xdr:nvSpPr>
          <xdr:spPr>
            <a:xfrm>
              <a:off x="20133631" y="36540707"/>
              <a:ext cx="182904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editAs="absolute">
    <xdr:from>
      <xdr:col>10</xdr:col>
      <xdr:colOff>48055</xdr:colOff>
      <xdr:row>0</xdr:row>
      <xdr:rowOff>110092</xdr:rowOff>
    </xdr:from>
    <xdr:to>
      <xdr:col>10</xdr:col>
      <xdr:colOff>1880815</xdr:colOff>
      <xdr:row>12</xdr:row>
      <xdr:rowOff>6804</xdr:rowOff>
    </xdr:to>
    <mc:AlternateContent xmlns:mc="http://schemas.openxmlformats.org/markup-compatibility/2006" xmlns:sle15="http://schemas.microsoft.com/office/drawing/2012/slicer">
      <mc:Choice Requires="sle15">
        <xdr:graphicFrame macro="">
          <xdr:nvGraphicFramePr>
            <xdr:cNvPr id="2" name="Roll No 6">
              <a:extLst>
                <a:ext uri="{FF2B5EF4-FFF2-40B4-BE49-F238E27FC236}">
                  <a16:creationId xmlns:a16="http://schemas.microsoft.com/office/drawing/2014/main" id="{014628C9-E9EC-4CAF-B725-7410B32930F0}"/>
                </a:ext>
              </a:extLst>
            </xdr:cNvPr>
            <xdr:cNvGraphicFramePr/>
          </xdr:nvGraphicFramePr>
          <xdr:xfrm>
            <a:off x="0" y="0"/>
            <a:ext cx="0" cy="0"/>
          </xdr:xfrm>
          <a:graphic>
            <a:graphicData uri="http://schemas.microsoft.com/office/drawing/2010/slicer">
              <sle:slicer xmlns:sle="http://schemas.microsoft.com/office/drawing/2010/slicer" name="Roll No 6"/>
            </a:graphicData>
          </a:graphic>
        </xdr:graphicFrame>
      </mc:Choice>
      <mc:Fallback xmlns="">
        <xdr:sp macro="" textlink="">
          <xdr:nvSpPr>
            <xdr:cNvPr id="0" name=""/>
            <xdr:cNvSpPr>
              <a:spLocks noTextEdit="1"/>
            </xdr:cNvSpPr>
          </xdr:nvSpPr>
          <xdr:spPr>
            <a:xfrm>
              <a:off x="20588437" y="110092"/>
              <a:ext cx="1832760" cy="2182712"/>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700723</xdr:colOff>
      <xdr:row>45</xdr:row>
      <xdr:rowOff>144614</xdr:rowOff>
    </xdr:from>
    <xdr:to>
      <xdr:col>7</xdr:col>
      <xdr:colOff>440156</xdr:colOff>
      <xdr:row>59</xdr:row>
      <xdr:rowOff>1739</xdr:rowOff>
    </xdr:to>
    <mc:AlternateContent xmlns:mc="http://schemas.openxmlformats.org/markup-compatibility/2006" xmlns:sle15="http://schemas.microsoft.com/office/drawing/2012/slicer">
      <mc:Choice Requires="sle15">
        <xdr:graphicFrame macro="">
          <xdr:nvGraphicFramePr>
            <xdr:cNvPr id="5" name="Roll No 7">
              <a:extLst>
                <a:ext uri="{FF2B5EF4-FFF2-40B4-BE49-F238E27FC236}">
                  <a16:creationId xmlns:a16="http://schemas.microsoft.com/office/drawing/2014/main" id="{EF5BE15D-13FE-47F7-9378-411432D027D1}"/>
                </a:ext>
              </a:extLst>
            </xdr:cNvPr>
            <xdr:cNvGraphicFramePr/>
          </xdr:nvGraphicFramePr>
          <xdr:xfrm>
            <a:off x="0" y="0"/>
            <a:ext cx="0" cy="0"/>
          </xdr:xfrm>
          <a:graphic>
            <a:graphicData uri="http://schemas.microsoft.com/office/drawing/2010/slicer">
              <sle:slicer xmlns:sle="http://schemas.microsoft.com/office/drawing/2010/slicer" name="Roll No 7"/>
            </a:graphicData>
          </a:graphic>
        </xdr:graphicFrame>
      </mc:Choice>
      <mc:Fallback xmlns="">
        <xdr:sp macro="" textlink="">
          <xdr:nvSpPr>
            <xdr:cNvPr id="0" name=""/>
            <xdr:cNvSpPr>
              <a:spLocks noTextEdit="1"/>
            </xdr:cNvSpPr>
          </xdr:nvSpPr>
          <xdr:spPr>
            <a:xfrm>
              <a:off x="10954105" y="8717114"/>
              <a:ext cx="182372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431542</xdr:colOff>
      <xdr:row>45</xdr:row>
      <xdr:rowOff>144614</xdr:rowOff>
    </xdr:from>
    <xdr:to>
      <xdr:col>7</xdr:col>
      <xdr:colOff>2277305</xdr:colOff>
      <xdr:row>59</xdr:row>
      <xdr:rowOff>1739</xdr:rowOff>
    </xdr:to>
    <mc:AlternateContent xmlns:mc="http://schemas.openxmlformats.org/markup-compatibility/2006" xmlns:sle15="http://schemas.microsoft.com/office/drawing/2012/slicer">
      <mc:Choice Requires="sle15">
        <xdr:graphicFrame macro="">
          <xdr:nvGraphicFramePr>
            <xdr:cNvPr id="6" name="Round of Average 4">
              <a:extLst>
                <a:ext uri="{FF2B5EF4-FFF2-40B4-BE49-F238E27FC236}">
                  <a16:creationId xmlns:a16="http://schemas.microsoft.com/office/drawing/2014/main" id="{8DA7ABB1-EC74-44E0-8A3D-C042426740D2}"/>
                </a:ext>
              </a:extLst>
            </xdr:cNvPr>
            <xdr:cNvGraphicFramePr/>
          </xdr:nvGraphicFramePr>
          <xdr:xfrm>
            <a:off x="0" y="0"/>
            <a:ext cx="0" cy="0"/>
          </xdr:xfrm>
          <a:graphic>
            <a:graphicData uri="http://schemas.microsoft.com/office/drawing/2010/slicer">
              <sle:slicer xmlns:sle="http://schemas.microsoft.com/office/drawing/2010/slicer" name="Round of Average 4"/>
            </a:graphicData>
          </a:graphic>
        </xdr:graphicFrame>
      </mc:Choice>
      <mc:Fallback xmlns="">
        <xdr:sp macro="" textlink="">
          <xdr:nvSpPr>
            <xdr:cNvPr id="0" name=""/>
            <xdr:cNvSpPr>
              <a:spLocks noTextEdit="1"/>
            </xdr:cNvSpPr>
          </xdr:nvSpPr>
          <xdr:spPr>
            <a:xfrm>
              <a:off x="12769218" y="8717114"/>
              <a:ext cx="1845763"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2277752</xdr:colOff>
      <xdr:row>45</xdr:row>
      <xdr:rowOff>144614</xdr:rowOff>
    </xdr:from>
    <xdr:to>
      <xdr:col>8</xdr:col>
      <xdr:colOff>1171436</xdr:colOff>
      <xdr:row>59</xdr:row>
      <xdr:rowOff>1739</xdr:rowOff>
    </xdr:to>
    <mc:AlternateContent xmlns:mc="http://schemas.openxmlformats.org/markup-compatibility/2006" xmlns:sle15="http://schemas.microsoft.com/office/drawing/2012/slicer">
      <mc:Choice Requires="sle15">
        <xdr:graphicFrame macro="">
          <xdr:nvGraphicFramePr>
            <xdr:cNvPr id="7" name="Midterm 3">
              <a:extLst>
                <a:ext uri="{FF2B5EF4-FFF2-40B4-BE49-F238E27FC236}">
                  <a16:creationId xmlns:a16="http://schemas.microsoft.com/office/drawing/2014/main" id="{56F977B4-403A-45BF-AABB-3C815918E9D1}"/>
                </a:ext>
              </a:extLst>
            </xdr:cNvPr>
            <xdr:cNvGraphicFramePr/>
          </xdr:nvGraphicFramePr>
          <xdr:xfrm>
            <a:off x="0" y="0"/>
            <a:ext cx="0" cy="0"/>
          </xdr:xfrm>
          <a:graphic>
            <a:graphicData uri="http://schemas.microsoft.com/office/drawing/2010/slicer">
              <sle:slicer xmlns:sle="http://schemas.microsoft.com/office/drawing/2010/slicer" name="Midterm 3"/>
            </a:graphicData>
          </a:graphic>
        </xdr:graphicFrame>
      </mc:Choice>
      <mc:Fallback xmlns="">
        <xdr:sp macro="" textlink="">
          <xdr:nvSpPr>
            <xdr:cNvPr id="0" name=""/>
            <xdr:cNvSpPr>
              <a:spLocks noTextEdit="1"/>
            </xdr:cNvSpPr>
          </xdr:nvSpPr>
          <xdr:spPr>
            <a:xfrm>
              <a:off x="14615428" y="8717114"/>
              <a:ext cx="184083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1161340</xdr:colOff>
      <xdr:row>45</xdr:row>
      <xdr:rowOff>144614</xdr:rowOff>
    </xdr:from>
    <xdr:to>
      <xdr:col>9</xdr:col>
      <xdr:colOff>566476</xdr:colOff>
      <xdr:row>59</xdr:row>
      <xdr:rowOff>1739</xdr:rowOff>
    </xdr:to>
    <mc:AlternateContent xmlns:mc="http://schemas.openxmlformats.org/markup-compatibility/2006" xmlns:sle15="http://schemas.microsoft.com/office/drawing/2012/slicer">
      <mc:Choice Requires="sle15">
        <xdr:graphicFrame macro="">
          <xdr:nvGraphicFramePr>
            <xdr:cNvPr id="8" name="Final 4">
              <a:extLst>
                <a:ext uri="{FF2B5EF4-FFF2-40B4-BE49-F238E27FC236}">
                  <a16:creationId xmlns:a16="http://schemas.microsoft.com/office/drawing/2014/main" id="{EC1FA9B7-2677-4243-91D9-5C6753BD375A}"/>
                </a:ext>
              </a:extLst>
            </xdr:cNvPr>
            <xdr:cNvGraphicFramePr/>
          </xdr:nvGraphicFramePr>
          <xdr:xfrm>
            <a:off x="0" y="0"/>
            <a:ext cx="0" cy="0"/>
          </xdr:xfrm>
          <a:graphic>
            <a:graphicData uri="http://schemas.microsoft.com/office/drawing/2010/slicer">
              <sle:slicer xmlns:sle="http://schemas.microsoft.com/office/drawing/2010/slicer" name="Final 4"/>
            </a:graphicData>
          </a:graphic>
        </xdr:graphicFrame>
      </mc:Choice>
      <mc:Fallback xmlns="">
        <xdr:sp macro="" textlink="">
          <xdr:nvSpPr>
            <xdr:cNvPr id="0" name=""/>
            <xdr:cNvSpPr>
              <a:spLocks noTextEdit="1"/>
            </xdr:cNvSpPr>
          </xdr:nvSpPr>
          <xdr:spPr>
            <a:xfrm>
              <a:off x="16446164" y="8717114"/>
              <a:ext cx="183681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564754</xdr:colOff>
      <xdr:row>45</xdr:row>
      <xdr:rowOff>144614</xdr:rowOff>
    </xdr:from>
    <xdr:to>
      <xdr:col>9</xdr:col>
      <xdr:colOff>2399855</xdr:colOff>
      <xdr:row>59</xdr:row>
      <xdr:rowOff>1739</xdr:rowOff>
    </xdr:to>
    <mc:AlternateContent xmlns:mc="http://schemas.openxmlformats.org/markup-compatibility/2006" xmlns:sle15="http://schemas.microsoft.com/office/drawing/2012/slicer">
      <mc:Choice Requires="sle15">
        <xdr:graphicFrame macro="">
          <xdr:nvGraphicFramePr>
            <xdr:cNvPr id="9" name="Total 4">
              <a:extLst>
                <a:ext uri="{FF2B5EF4-FFF2-40B4-BE49-F238E27FC236}">
                  <a16:creationId xmlns:a16="http://schemas.microsoft.com/office/drawing/2014/main" id="{322E3591-7C78-49B8-B713-816AE3DE30D4}"/>
                </a:ext>
              </a:extLst>
            </xdr:cNvPr>
            <xdr:cNvGraphicFramePr/>
          </xdr:nvGraphicFramePr>
          <xdr:xfrm>
            <a:off x="0" y="0"/>
            <a:ext cx="0" cy="0"/>
          </xdr:xfrm>
          <a:graphic>
            <a:graphicData uri="http://schemas.microsoft.com/office/drawing/2010/slicer">
              <sle:slicer xmlns:sle="http://schemas.microsoft.com/office/drawing/2010/slicer" name="Total 4"/>
            </a:graphicData>
          </a:graphic>
        </xdr:graphicFrame>
      </mc:Choice>
      <mc:Fallback xmlns="">
        <xdr:sp macro="" textlink="">
          <xdr:nvSpPr>
            <xdr:cNvPr id="0" name=""/>
            <xdr:cNvSpPr>
              <a:spLocks noTextEdit="1"/>
            </xdr:cNvSpPr>
          </xdr:nvSpPr>
          <xdr:spPr>
            <a:xfrm>
              <a:off x="18281254" y="8717114"/>
              <a:ext cx="183510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2401151</xdr:colOff>
      <xdr:row>45</xdr:row>
      <xdr:rowOff>144614</xdr:rowOff>
    </xdr:from>
    <xdr:to>
      <xdr:col>10</xdr:col>
      <xdr:colOff>1399149</xdr:colOff>
      <xdr:row>59</xdr:row>
      <xdr:rowOff>1739</xdr:rowOff>
    </xdr:to>
    <mc:AlternateContent xmlns:mc="http://schemas.openxmlformats.org/markup-compatibility/2006" xmlns:sle15="http://schemas.microsoft.com/office/drawing/2012/slicer">
      <mc:Choice Requires="sle15">
        <xdr:graphicFrame macro="">
          <xdr:nvGraphicFramePr>
            <xdr:cNvPr id="10" name="Grade Scale 4">
              <a:extLst>
                <a:ext uri="{FF2B5EF4-FFF2-40B4-BE49-F238E27FC236}">
                  <a16:creationId xmlns:a16="http://schemas.microsoft.com/office/drawing/2014/main" id="{2D2FF24D-9A3E-4F8D-AA57-D9BB0B3CB6B2}"/>
                </a:ext>
              </a:extLst>
            </xdr:cNvPr>
            <xdr:cNvGraphicFramePr/>
          </xdr:nvGraphicFramePr>
          <xdr:xfrm>
            <a:off x="0" y="0"/>
            <a:ext cx="0" cy="0"/>
          </xdr:xfrm>
          <a:graphic>
            <a:graphicData uri="http://schemas.microsoft.com/office/drawing/2010/slicer">
              <sle:slicer xmlns:sle="http://schemas.microsoft.com/office/drawing/2010/slicer" name="Grade Scale 4"/>
            </a:graphicData>
          </a:graphic>
        </xdr:graphicFrame>
      </mc:Choice>
      <mc:Fallback xmlns="">
        <xdr:sp macro="" textlink="">
          <xdr:nvSpPr>
            <xdr:cNvPr id="0" name=""/>
            <xdr:cNvSpPr>
              <a:spLocks noTextEdit="1"/>
            </xdr:cNvSpPr>
          </xdr:nvSpPr>
          <xdr:spPr>
            <a:xfrm>
              <a:off x="20117651" y="8717114"/>
              <a:ext cx="182188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1387752</xdr:colOff>
      <xdr:row>45</xdr:row>
      <xdr:rowOff>144614</xdr:rowOff>
    </xdr:from>
    <xdr:to>
      <xdr:col>10</xdr:col>
      <xdr:colOff>3225444</xdr:colOff>
      <xdr:row>59</xdr:row>
      <xdr:rowOff>1739</xdr:rowOff>
    </xdr:to>
    <mc:AlternateContent xmlns:mc="http://schemas.openxmlformats.org/markup-compatibility/2006" xmlns:sle15="http://schemas.microsoft.com/office/drawing/2012/slicer">
      <mc:Choice Requires="sle15">
        <xdr:graphicFrame macro="">
          <xdr:nvGraphicFramePr>
            <xdr:cNvPr id="11" name="Grade Point 6">
              <a:extLst>
                <a:ext uri="{FF2B5EF4-FFF2-40B4-BE49-F238E27FC236}">
                  <a16:creationId xmlns:a16="http://schemas.microsoft.com/office/drawing/2014/main" id="{53506ECF-5192-42F0-89E0-4539D13E91AA}"/>
                </a:ext>
              </a:extLst>
            </xdr:cNvPr>
            <xdr:cNvGraphicFramePr/>
          </xdr:nvGraphicFramePr>
          <xdr:xfrm>
            <a:off x="0" y="0"/>
            <a:ext cx="0" cy="0"/>
          </xdr:xfrm>
          <a:graphic>
            <a:graphicData uri="http://schemas.microsoft.com/office/drawing/2010/slicer">
              <sle:slicer xmlns:sle="http://schemas.microsoft.com/office/drawing/2010/slicer" name="Grade Point 6"/>
            </a:graphicData>
          </a:graphic>
        </xdr:graphicFrame>
      </mc:Choice>
      <mc:Fallback xmlns="">
        <xdr:sp macro="" textlink="">
          <xdr:nvSpPr>
            <xdr:cNvPr id="0" name=""/>
            <xdr:cNvSpPr>
              <a:spLocks noTextEdit="1"/>
            </xdr:cNvSpPr>
          </xdr:nvSpPr>
          <xdr:spPr>
            <a:xfrm>
              <a:off x="21928134" y="8717114"/>
              <a:ext cx="183769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583503</xdr:colOff>
      <xdr:row>92</xdr:row>
      <xdr:rowOff>144092</xdr:rowOff>
    </xdr:from>
    <xdr:to>
      <xdr:col>7</xdr:col>
      <xdr:colOff>320005</xdr:colOff>
      <xdr:row>106</xdr:row>
      <xdr:rowOff>1217</xdr:rowOff>
    </xdr:to>
    <mc:AlternateContent xmlns:mc="http://schemas.openxmlformats.org/markup-compatibility/2006" xmlns:sle15="http://schemas.microsoft.com/office/drawing/2012/slicer">
      <mc:Choice Requires="sle15">
        <xdr:graphicFrame macro="">
          <xdr:nvGraphicFramePr>
            <xdr:cNvPr id="26" name="Roll No 10">
              <a:extLst>
                <a:ext uri="{FF2B5EF4-FFF2-40B4-BE49-F238E27FC236}">
                  <a16:creationId xmlns:a16="http://schemas.microsoft.com/office/drawing/2014/main" id="{2CC54D2A-6422-4351-8D69-8E69D82DF57D}"/>
                </a:ext>
              </a:extLst>
            </xdr:cNvPr>
            <xdr:cNvGraphicFramePr/>
          </xdr:nvGraphicFramePr>
          <xdr:xfrm>
            <a:off x="0" y="0"/>
            <a:ext cx="0" cy="0"/>
          </xdr:xfrm>
          <a:graphic>
            <a:graphicData uri="http://schemas.microsoft.com/office/drawing/2010/slicer">
              <sle:slicer xmlns:sle="http://schemas.microsoft.com/office/drawing/2010/slicer" name="Roll No 10"/>
            </a:graphicData>
          </a:graphic>
        </xdr:graphicFrame>
      </mc:Choice>
      <mc:Fallback xmlns="">
        <xdr:sp macro="" textlink="">
          <xdr:nvSpPr>
            <xdr:cNvPr id="0" name=""/>
            <xdr:cNvSpPr>
              <a:spLocks noTextEdit="1"/>
            </xdr:cNvSpPr>
          </xdr:nvSpPr>
          <xdr:spPr>
            <a:xfrm>
              <a:off x="10836885" y="17995063"/>
              <a:ext cx="182079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321138</xdr:colOff>
      <xdr:row>92</xdr:row>
      <xdr:rowOff>144092</xdr:rowOff>
    </xdr:from>
    <xdr:to>
      <xdr:col>7</xdr:col>
      <xdr:colOff>2161207</xdr:colOff>
      <xdr:row>106</xdr:row>
      <xdr:rowOff>1217</xdr:rowOff>
    </xdr:to>
    <mc:AlternateContent xmlns:mc="http://schemas.openxmlformats.org/markup-compatibility/2006" xmlns:sle15="http://schemas.microsoft.com/office/drawing/2012/slicer">
      <mc:Choice Requires="sle15">
        <xdr:graphicFrame macro="">
          <xdr:nvGraphicFramePr>
            <xdr:cNvPr id="27" name="Round of Average 7">
              <a:extLst>
                <a:ext uri="{FF2B5EF4-FFF2-40B4-BE49-F238E27FC236}">
                  <a16:creationId xmlns:a16="http://schemas.microsoft.com/office/drawing/2014/main" id="{CBAF6F49-C401-480B-89C1-74044200D0BA}"/>
                </a:ext>
              </a:extLst>
            </xdr:cNvPr>
            <xdr:cNvGraphicFramePr/>
          </xdr:nvGraphicFramePr>
          <xdr:xfrm>
            <a:off x="0" y="0"/>
            <a:ext cx="0" cy="0"/>
          </xdr:xfrm>
          <a:graphic>
            <a:graphicData uri="http://schemas.microsoft.com/office/drawing/2010/slicer">
              <sle:slicer xmlns:sle="http://schemas.microsoft.com/office/drawing/2010/slicer" name="Round of Average 7"/>
            </a:graphicData>
          </a:graphic>
        </xdr:graphicFrame>
      </mc:Choice>
      <mc:Fallback xmlns="">
        <xdr:sp macro="" textlink="">
          <xdr:nvSpPr>
            <xdr:cNvPr id="0" name=""/>
            <xdr:cNvSpPr>
              <a:spLocks noTextEdit="1"/>
            </xdr:cNvSpPr>
          </xdr:nvSpPr>
          <xdr:spPr>
            <a:xfrm>
              <a:off x="12658814" y="17995063"/>
              <a:ext cx="184006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2158125</xdr:colOff>
      <xdr:row>92</xdr:row>
      <xdr:rowOff>144092</xdr:rowOff>
    </xdr:from>
    <xdr:to>
      <xdr:col>8</xdr:col>
      <xdr:colOff>1056118</xdr:colOff>
      <xdr:row>106</xdr:row>
      <xdr:rowOff>1217</xdr:rowOff>
    </xdr:to>
    <mc:AlternateContent xmlns:mc="http://schemas.openxmlformats.org/markup-compatibility/2006" xmlns:sle15="http://schemas.microsoft.com/office/drawing/2012/slicer">
      <mc:Choice Requires="sle15">
        <xdr:graphicFrame macro="">
          <xdr:nvGraphicFramePr>
            <xdr:cNvPr id="28" name="Assignment 1">
              <a:extLst>
                <a:ext uri="{FF2B5EF4-FFF2-40B4-BE49-F238E27FC236}">
                  <a16:creationId xmlns:a16="http://schemas.microsoft.com/office/drawing/2014/main" id="{E028C651-CC31-45A4-B1C0-960E01D12DA0}"/>
                </a:ext>
              </a:extLst>
            </xdr:cNvPr>
            <xdr:cNvGraphicFramePr/>
          </xdr:nvGraphicFramePr>
          <xdr:xfrm>
            <a:off x="0" y="0"/>
            <a:ext cx="0" cy="0"/>
          </xdr:xfrm>
          <a:graphic>
            <a:graphicData uri="http://schemas.microsoft.com/office/drawing/2010/slicer">
              <sle:slicer xmlns:sle="http://schemas.microsoft.com/office/drawing/2010/slicer" name="Assignment 1"/>
            </a:graphicData>
          </a:graphic>
        </xdr:graphicFrame>
      </mc:Choice>
      <mc:Fallback xmlns="">
        <xdr:sp macro="" textlink="">
          <xdr:nvSpPr>
            <xdr:cNvPr id="0" name=""/>
            <xdr:cNvSpPr>
              <a:spLocks noTextEdit="1"/>
            </xdr:cNvSpPr>
          </xdr:nvSpPr>
          <xdr:spPr>
            <a:xfrm>
              <a:off x="14495801" y="17995063"/>
              <a:ext cx="184514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1055436</xdr:colOff>
      <xdr:row>92</xdr:row>
      <xdr:rowOff>144092</xdr:rowOff>
    </xdr:from>
    <xdr:to>
      <xdr:col>9</xdr:col>
      <xdr:colOff>463416</xdr:colOff>
      <xdr:row>106</xdr:row>
      <xdr:rowOff>1217</xdr:rowOff>
    </xdr:to>
    <mc:AlternateContent xmlns:mc="http://schemas.openxmlformats.org/markup-compatibility/2006" xmlns:sle15="http://schemas.microsoft.com/office/drawing/2012/slicer">
      <mc:Choice Requires="sle15">
        <xdr:graphicFrame macro="">
          <xdr:nvGraphicFramePr>
            <xdr:cNvPr id="29" name="Final 7">
              <a:extLst>
                <a:ext uri="{FF2B5EF4-FFF2-40B4-BE49-F238E27FC236}">
                  <a16:creationId xmlns:a16="http://schemas.microsoft.com/office/drawing/2014/main" id="{6F7C9C98-B993-4E5D-8537-F70AD32D47B9}"/>
                </a:ext>
              </a:extLst>
            </xdr:cNvPr>
            <xdr:cNvGraphicFramePr/>
          </xdr:nvGraphicFramePr>
          <xdr:xfrm>
            <a:off x="0" y="0"/>
            <a:ext cx="0" cy="0"/>
          </xdr:xfrm>
          <a:graphic>
            <a:graphicData uri="http://schemas.microsoft.com/office/drawing/2010/slicer">
              <sle:slicer xmlns:sle="http://schemas.microsoft.com/office/drawing/2010/slicer" name="Final 7"/>
            </a:graphicData>
          </a:graphic>
        </xdr:graphicFrame>
      </mc:Choice>
      <mc:Fallback xmlns="">
        <xdr:sp macro="" textlink="">
          <xdr:nvSpPr>
            <xdr:cNvPr id="0" name=""/>
            <xdr:cNvSpPr>
              <a:spLocks noTextEdit="1"/>
            </xdr:cNvSpPr>
          </xdr:nvSpPr>
          <xdr:spPr>
            <a:xfrm>
              <a:off x="16340260" y="17995063"/>
              <a:ext cx="183965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459909</xdr:colOff>
      <xdr:row>92</xdr:row>
      <xdr:rowOff>144092</xdr:rowOff>
    </xdr:from>
    <xdr:to>
      <xdr:col>9</xdr:col>
      <xdr:colOff>2300036</xdr:colOff>
      <xdr:row>106</xdr:row>
      <xdr:rowOff>1217</xdr:rowOff>
    </xdr:to>
    <mc:AlternateContent xmlns:mc="http://schemas.openxmlformats.org/markup-compatibility/2006" xmlns:sle15="http://schemas.microsoft.com/office/drawing/2012/slicer">
      <mc:Choice Requires="sle15">
        <xdr:graphicFrame macro="">
          <xdr:nvGraphicFramePr>
            <xdr:cNvPr id="30" name="Total 7">
              <a:extLst>
                <a:ext uri="{FF2B5EF4-FFF2-40B4-BE49-F238E27FC236}">
                  <a16:creationId xmlns:a16="http://schemas.microsoft.com/office/drawing/2014/main" id="{21193813-7C9A-477F-BD09-BA4EE4FE9F9D}"/>
                </a:ext>
              </a:extLst>
            </xdr:cNvPr>
            <xdr:cNvGraphicFramePr/>
          </xdr:nvGraphicFramePr>
          <xdr:xfrm>
            <a:off x="0" y="0"/>
            <a:ext cx="0" cy="0"/>
          </xdr:xfrm>
          <a:graphic>
            <a:graphicData uri="http://schemas.microsoft.com/office/drawing/2010/slicer">
              <sle:slicer xmlns:sle="http://schemas.microsoft.com/office/drawing/2010/slicer" name="Total 7"/>
            </a:graphicData>
          </a:graphic>
        </xdr:graphicFrame>
      </mc:Choice>
      <mc:Fallback xmlns="">
        <xdr:sp macro="" textlink="">
          <xdr:nvSpPr>
            <xdr:cNvPr id="0" name=""/>
            <xdr:cNvSpPr>
              <a:spLocks noTextEdit="1"/>
            </xdr:cNvSpPr>
          </xdr:nvSpPr>
          <xdr:spPr>
            <a:xfrm>
              <a:off x="18176409" y="17995063"/>
              <a:ext cx="184012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2300747</xdr:colOff>
      <xdr:row>92</xdr:row>
      <xdr:rowOff>144092</xdr:rowOff>
    </xdr:from>
    <xdr:to>
      <xdr:col>10</xdr:col>
      <xdr:colOff>1301807</xdr:colOff>
      <xdr:row>106</xdr:row>
      <xdr:rowOff>1217</xdr:rowOff>
    </xdr:to>
    <mc:AlternateContent xmlns:mc="http://schemas.openxmlformats.org/markup-compatibility/2006" xmlns:sle15="http://schemas.microsoft.com/office/drawing/2012/slicer">
      <mc:Choice Requires="sle15">
        <xdr:graphicFrame macro="">
          <xdr:nvGraphicFramePr>
            <xdr:cNvPr id="31" name="Grade Scale 7">
              <a:extLst>
                <a:ext uri="{FF2B5EF4-FFF2-40B4-BE49-F238E27FC236}">
                  <a16:creationId xmlns:a16="http://schemas.microsoft.com/office/drawing/2014/main" id="{821A1933-B82D-4B28-A2F3-ED6E8167775F}"/>
                </a:ext>
              </a:extLst>
            </xdr:cNvPr>
            <xdr:cNvGraphicFramePr/>
          </xdr:nvGraphicFramePr>
          <xdr:xfrm>
            <a:off x="0" y="0"/>
            <a:ext cx="0" cy="0"/>
          </xdr:xfrm>
          <a:graphic>
            <a:graphicData uri="http://schemas.microsoft.com/office/drawing/2010/slicer">
              <sle:slicer xmlns:sle="http://schemas.microsoft.com/office/drawing/2010/slicer" name="Grade Scale 7"/>
            </a:graphicData>
          </a:graphic>
        </xdr:graphicFrame>
      </mc:Choice>
      <mc:Fallback xmlns="">
        <xdr:sp macro="" textlink="">
          <xdr:nvSpPr>
            <xdr:cNvPr id="0" name=""/>
            <xdr:cNvSpPr>
              <a:spLocks noTextEdit="1"/>
            </xdr:cNvSpPr>
          </xdr:nvSpPr>
          <xdr:spPr>
            <a:xfrm>
              <a:off x="20017247" y="17995063"/>
              <a:ext cx="18249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1297923</xdr:colOff>
      <xdr:row>92</xdr:row>
      <xdr:rowOff>144092</xdr:rowOff>
    </xdr:from>
    <xdr:to>
      <xdr:col>10</xdr:col>
      <xdr:colOff>3126971</xdr:colOff>
      <xdr:row>106</xdr:row>
      <xdr:rowOff>1217</xdr:rowOff>
    </xdr:to>
    <mc:AlternateContent xmlns:mc="http://schemas.openxmlformats.org/markup-compatibility/2006" xmlns:sle15="http://schemas.microsoft.com/office/drawing/2012/slicer">
      <mc:Choice Requires="sle15">
        <xdr:graphicFrame macro="">
          <xdr:nvGraphicFramePr>
            <xdr:cNvPr id="32" name="Grade Point 9">
              <a:extLst>
                <a:ext uri="{FF2B5EF4-FFF2-40B4-BE49-F238E27FC236}">
                  <a16:creationId xmlns:a16="http://schemas.microsoft.com/office/drawing/2014/main" id="{C65553E8-F448-4744-857B-79A529EC15C1}"/>
                </a:ext>
              </a:extLst>
            </xdr:cNvPr>
            <xdr:cNvGraphicFramePr/>
          </xdr:nvGraphicFramePr>
          <xdr:xfrm>
            <a:off x="0" y="0"/>
            <a:ext cx="0" cy="0"/>
          </xdr:xfrm>
          <a:graphic>
            <a:graphicData uri="http://schemas.microsoft.com/office/drawing/2010/slicer">
              <sle:slicer xmlns:sle="http://schemas.microsoft.com/office/drawing/2010/slicer" name="Grade Point 9"/>
            </a:graphicData>
          </a:graphic>
        </xdr:graphicFrame>
      </mc:Choice>
      <mc:Fallback xmlns="">
        <xdr:sp macro="" textlink="">
          <xdr:nvSpPr>
            <xdr:cNvPr id="0" name=""/>
            <xdr:cNvSpPr>
              <a:spLocks noTextEdit="1"/>
            </xdr:cNvSpPr>
          </xdr:nvSpPr>
          <xdr:spPr>
            <a:xfrm>
              <a:off x="21838305" y="17995063"/>
              <a:ext cx="182904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absoluteAnchor>
    <xdr:pos x="10971376" y="27210246"/>
    <xdr:ext cx="1839006" cy="2524125"/>
    <mc:AlternateContent xmlns:mc="http://schemas.openxmlformats.org/markup-compatibility/2006" xmlns:sle15="http://schemas.microsoft.com/office/drawing/2012/slicer">
      <mc:Choice Requires="sle15">
        <xdr:graphicFrame macro="">
          <xdr:nvGraphicFramePr>
            <xdr:cNvPr id="33" name="Roll No 16">
              <a:extLst>
                <a:ext uri="{FF2B5EF4-FFF2-40B4-BE49-F238E27FC236}">
                  <a16:creationId xmlns:a16="http://schemas.microsoft.com/office/drawing/2014/main" id="{54DFD54F-46F1-46D3-B629-E1CC4860DF16}"/>
                </a:ext>
              </a:extLst>
            </xdr:cNvPr>
            <xdr:cNvGraphicFramePr/>
          </xdr:nvGraphicFramePr>
          <xdr:xfrm>
            <a:off x="0" y="0"/>
            <a:ext cx="0" cy="0"/>
          </xdr:xfrm>
          <a:graphic>
            <a:graphicData uri="http://schemas.microsoft.com/office/drawing/2010/slicer">
              <sle:slicer xmlns:sle="http://schemas.microsoft.com/office/drawing/2010/slicer" name="Roll No 16"/>
            </a:graphicData>
          </a:graphic>
        </xdr:graphicFrame>
      </mc:Choice>
      <mc:Fallback xmlns="">
        <xdr:sp macro="" textlink="">
          <xdr:nvSpPr>
            <xdr:cNvPr id="0" name=""/>
            <xdr:cNvSpPr>
              <a:spLocks noTextEdit="1"/>
            </xdr:cNvSpPr>
          </xdr:nvSpPr>
          <xdr:spPr>
            <a:xfrm>
              <a:off x="10971376" y="27210246"/>
              <a:ext cx="183900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2811515" y="27210246"/>
    <xdr:ext cx="1841469" cy="2524125"/>
    <mc:AlternateContent xmlns:mc="http://schemas.openxmlformats.org/markup-compatibility/2006" xmlns:sle15="http://schemas.microsoft.com/office/drawing/2012/slicer">
      <mc:Choice Requires="sle15">
        <xdr:graphicFrame macro="">
          <xdr:nvGraphicFramePr>
            <xdr:cNvPr id="34" name="Round of Average 12">
              <a:extLst>
                <a:ext uri="{FF2B5EF4-FFF2-40B4-BE49-F238E27FC236}">
                  <a16:creationId xmlns:a16="http://schemas.microsoft.com/office/drawing/2014/main" id="{4FB0A119-B892-4367-86AB-9CFC50E7659B}"/>
                </a:ext>
              </a:extLst>
            </xdr:cNvPr>
            <xdr:cNvGraphicFramePr/>
          </xdr:nvGraphicFramePr>
          <xdr:xfrm>
            <a:off x="0" y="0"/>
            <a:ext cx="0" cy="0"/>
          </xdr:xfrm>
          <a:graphic>
            <a:graphicData uri="http://schemas.microsoft.com/office/drawing/2010/slicer">
              <sle:slicer xmlns:sle="http://schemas.microsoft.com/office/drawing/2010/slicer" name="Round of Average 12"/>
            </a:graphicData>
          </a:graphic>
        </xdr:graphicFrame>
      </mc:Choice>
      <mc:Fallback xmlns="">
        <xdr:sp macro="" textlink="">
          <xdr:nvSpPr>
            <xdr:cNvPr id="0" name=""/>
            <xdr:cNvSpPr>
              <a:spLocks noTextEdit="1"/>
            </xdr:cNvSpPr>
          </xdr:nvSpPr>
          <xdr:spPr>
            <a:xfrm>
              <a:off x="12811515" y="27210246"/>
              <a:ext cx="184146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4649902" y="27210246"/>
    <xdr:ext cx="1828331" cy="2524125"/>
    <mc:AlternateContent xmlns:mc="http://schemas.openxmlformats.org/markup-compatibility/2006" xmlns:sle15="http://schemas.microsoft.com/office/drawing/2012/slicer">
      <mc:Choice Requires="sle15">
        <xdr:graphicFrame macro="">
          <xdr:nvGraphicFramePr>
            <xdr:cNvPr id="35" name="Assignment 3">
              <a:extLst>
                <a:ext uri="{FF2B5EF4-FFF2-40B4-BE49-F238E27FC236}">
                  <a16:creationId xmlns:a16="http://schemas.microsoft.com/office/drawing/2014/main" id="{8639DACF-5CB9-4323-8083-E15EEF86CB3C}"/>
                </a:ext>
              </a:extLst>
            </xdr:cNvPr>
            <xdr:cNvGraphicFramePr/>
          </xdr:nvGraphicFramePr>
          <xdr:xfrm>
            <a:off x="0" y="0"/>
            <a:ext cx="0" cy="0"/>
          </xdr:xfrm>
          <a:graphic>
            <a:graphicData uri="http://schemas.microsoft.com/office/drawing/2010/slicer">
              <sle:slicer xmlns:sle="http://schemas.microsoft.com/office/drawing/2010/slicer" name="Assignment 3"/>
            </a:graphicData>
          </a:graphic>
        </xdr:graphicFrame>
      </mc:Choice>
      <mc:Fallback xmlns="">
        <xdr:sp macro="" textlink="">
          <xdr:nvSpPr>
            <xdr:cNvPr id="0" name=""/>
            <xdr:cNvSpPr>
              <a:spLocks noTextEdit="1"/>
            </xdr:cNvSpPr>
          </xdr:nvSpPr>
          <xdr:spPr>
            <a:xfrm>
              <a:off x="14649902" y="27210246"/>
              <a:ext cx="182833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6477551" y="27210246"/>
    <xdr:ext cx="1836855" cy="2524125"/>
    <mc:AlternateContent xmlns:mc="http://schemas.openxmlformats.org/markup-compatibility/2006" xmlns:sle15="http://schemas.microsoft.com/office/drawing/2012/slicer">
      <mc:Choice Requires="sle15">
        <xdr:graphicFrame macro="">
          <xdr:nvGraphicFramePr>
            <xdr:cNvPr id="36" name="Final 12">
              <a:extLst>
                <a:ext uri="{FF2B5EF4-FFF2-40B4-BE49-F238E27FC236}">
                  <a16:creationId xmlns:a16="http://schemas.microsoft.com/office/drawing/2014/main" id="{13BCCFC3-1ECF-4DBE-92CB-C69D636EDC32}"/>
                </a:ext>
              </a:extLst>
            </xdr:cNvPr>
            <xdr:cNvGraphicFramePr/>
          </xdr:nvGraphicFramePr>
          <xdr:xfrm>
            <a:off x="0" y="0"/>
            <a:ext cx="0" cy="0"/>
          </xdr:xfrm>
          <a:graphic>
            <a:graphicData uri="http://schemas.microsoft.com/office/drawing/2010/slicer">
              <sle:slicer xmlns:sle="http://schemas.microsoft.com/office/drawing/2010/slicer" name="Final 12"/>
            </a:graphicData>
          </a:graphic>
        </xdr:graphicFrame>
      </mc:Choice>
      <mc:Fallback xmlns="">
        <xdr:sp macro="" textlink="">
          <xdr:nvSpPr>
            <xdr:cNvPr id="0" name=""/>
            <xdr:cNvSpPr>
              <a:spLocks noTextEdit="1"/>
            </xdr:cNvSpPr>
          </xdr:nvSpPr>
          <xdr:spPr>
            <a:xfrm>
              <a:off x="16477551" y="27210246"/>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8310899" y="27210246"/>
    <xdr:ext cx="1830322" cy="2524125"/>
    <mc:AlternateContent xmlns:mc="http://schemas.openxmlformats.org/markup-compatibility/2006" xmlns:sle15="http://schemas.microsoft.com/office/drawing/2012/slicer">
      <mc:Choice Requires="sle15">
        <xdr:graphicFrame macro="">
          <xdr:nvGraphicFramePr>
            <xdr:cNvPr id="37" name="Total 12">
              <a:extLst>
                <a:ext uri="{FF2B5EF4-FFF2-40B4-BE49-F238E27FC236}">
                  <a16:creationId xmlns:a16="http://schemas.microsoft.com/office/drawing/2014/main" id="{4C5A22F1-AB6B-4221-BA1C-54C7E2404E30}"/>
                </a:ext>
              </a:extLst>
            </xdr:cNvPr>
            <xdr:cNvGraphicFramePr/>
          </xdr:nvGraphicFramePr>
          <xdr:xfrm>
            <a:off x="0" y="0"/>
            <a:ext cx="0" cy="0"/>
          </xdr:xfrm>
          <a:graphic>
            <a:graphicData uri="http://schemas.microsoft.com/office/drawing/2010/slicer">
              <sle:slicer xmlns:sle="http://schemas.microsoft.com/office/drawing/2010/slicer" name="Total 12"/>
            </a:graphicData>
          </a:graphic>
        </xdr:graphicFrame>
      </mc:Choice>
      <mc:Fallback xmlns="">
        <xdr:sp macro="" textlink="">
          <xdr:nvSpPr>
            <xdr:cNvPr id="0" name=""/>
            <xdr:cNvSpPr>
              <a:spLocks noTextEdit="1"/>
            </xdr:cNvSpPr>
          </xdr:nvSpPr>
          <xdr:spPr>
            <a:xfrm>
              <a:off x="18310899" y="27210246"/>
              <a:ext cx="183032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0141932" y="27210246"/>
    <xdr:ext cx="1834747" cy="2524125"/>
    <mc:AlternateContent xmlns:mc="http://schemas.openxmlformats.org/markup-compatibility/2006" xmlns:sle15="http://schemas.microsoft.com/office/drawing/2012/slicer">
      <mc:Choice Requires="sle15">
        <xdr:graphicFrame macro="">
          <xdr:nvGraphicFramePr>
            <xdr:cNvPr id="38" name="Grade Scale 12">
              <a:extLst>
                <a:ext uri="{FF2B5EF4-FFF2-40B4-BE49-F238E27FC236}">
                  <a16:creationId xmlns:a16="http://schemas.microsoft.com/office/drawing/2014/main" id="{7F35881D-DC6C-4181-9B9D-DFBC36289119}"/>
                </a:ext>
              </a:extLst>
            </xdr:cNvPr>
            <xdr:cNvGraphicFramePr/>
          </xdr:nvGraphicFramePr>
          <xdr:xfrm>
            <a:off x="0" y="0"/>
            <a:ext cx="0" cy="0"/>
          </xdr:xfrm>
          <a:graphic>
            <a:graphicData uri="http://schemas.microsoft.com/office/drawing/2010/slicer">
              <sle:slicer xmlns:sle="http://schemas.microsoft.com/office/drawing/2010/slicer" name="Grade Scale 12"/>
            </a:graphicData>
          </a:graphic>
        </xdr:graphicFrame>
      </mc:Choice>
      <mc:Fallback xmlns="">
        <xdr:sp macro="" textlink="">
          <xdr:nvSpPr>
            <xdr:cNvPr id="0" name=""/>
            <xdr:cNvSpPr>
              <a:spLocks noTextEdit="1"/>
            </xdr:cNvSpPr>
          </xdr:nvSpPr>
          <xdr:spPr>
            <a:xfrm>
              <a:off x="20141932" y="27210246"/>
              <a:ext cx="183474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1972795" y="27210246"/>
    <xdr:ext cx="1817842" cy="2524125"/>
    <mc:AlternateContent xmlns:mc="http://schemas.openxmlformats.org/markup-compatibility/2006" xmlns:sle15="http://schemas.microsoft.com/office/drawing/2012/slicer">
      <mc:Choice Requires="sle15">
        <xdr:graphicFrame macro="">
          <xdr:nvGraphicFramePr>
            <xdr:cNvPr id="39" name="Grade Point 15">
              <a:extLst>
                <a:ext uri="{FF2B5EF4-FFF2-40B4-BE49-F238E27FC236}">
                  <a16:creationId xmlns:a16="http://schemas.microsoft.com/office/drawing/2014/main" id="{C5F2C35C-F9CE-4462-AE07-833831EC7020}"/>
                </a:ext>
              </a:extLst>
            </xdr:cNvPr>
            <xdr:cNvGraphicFramePr/>
          </xdr:nvGraphicFramePr>
          <xdr:xfrm>
            <a:off x="0" y="0"/>
            <a:ext cx="0" cy="0"/>
          </xdr:xfrm>
          <a:graphic>
            <a:graphicData uri="http://schemas.microsoft.com/office/drawing/2010/slicer">
              <sle:slicer xmlns:sle="http://schemas.microsoft.com/office/drawing/2010/slicer" name="Grade Point 15"/>
            </a:graphicData>
          </a:graphic>
        </xdr:graphicFrame>
      </mc:Choice>
      <mc:Fallback xmlns="">
        <xdr:sp macro="" textlink="">
          <xdr:nvSpPr>
            <xdr:cNvPr id="0" name=""/>
            <xdr:cNvSpPr>
              <a:spLocks noTextEdit="1"/>
            </xdr:cNvSpPr>
          </xdr:nvSpPr>
          <xdr:spPr>
            <a:xfrm>
              <a:off x="21972795" y="27210246"/>
              <a:ext cx="18178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0899934" y="36446404"/>
    <xdr:ext cx="1839006" cy="2524125"/>
    <mc:AlternateContent xmlns:mc="http://schemas.openxmlformats.org/markup-compatibility/2006" xmlns:sle15="http://schemas.microsoft.com/office/drawing/2012/slicer">
      <mc:Choice Requires="sle15">
        <xdr:graphicFrame macro="">
          <xdr:nvGraphicFramePr>
            <xdr:cNvPr id="40" name="Roll No 17">
              <a:extLst>
                <a:ext uri="{FF2B5EF4-FFF2-40B4-BE49-F238E27FC236}">
                  <a16:creationId xmlns:a16="http://schemas.microsoft.com/office/drawing/2014/main" id="{D52F8075-4313-4E32-ABB6-26A99C9AF977}"/>
                </a:ext>
              </a:extLst>
            </xdr:cNvPr>
            <xdr:cNvGraphicFramePr/>
          </xdr:nvGraphicFramePr>
          <xdr:xfrm>
            <a:off x="0" y="0"/>
            <a:ext cx="0" cy="0"/>
          </xdr:xfrm>
          <a:graphic>
            <a:graphicData uri="http://schemas.microsoft.com/office/drawing/2010/slicer">
              <sle:slicer xmlns:sle="http://schemas.microsoft.com/office/drawing/2010/slicer" name="Roll No 17"/>
            </a:graphicData>
          </a:graphic>
        </xdr:graphicFrame>
      </mc:Choice>
      <mc:Fallback xmlns="">
        <xdr:sp macro="" textlink="">
          <xdr:nvSpPr>
            <xdr:cNvPr id="0" name=""/>
            <xdr:cNvSpPr>
              <a:spLocks noTextEdit="1"/>
            </xdr:cNvSpPr>
          </xdr:nvSpPr>
          <xdr:spPr>
            <a:xfrm>
              <a:off x="10899934" y="36446404"/>
              <a:ext cx="183900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2740073" y="36446404"/>
    <xdr:ext cx="1841469" cy="2524125"/>
    <mc:AlternateContent xmlns:mc="http://schemas.openxmlformats.org/markup-compatibility/2006" xmlns:sle15="http://schemas.microsoft.com/office/drawing/2012/slicer">
      <mc:Choice Requires="sle15">
        <xdr:graphicFrame macro="">
          <xdr:nvGraphicFramePr>
            <xdr:cNvPr id="41" name="Round of Average 13">
              <a:extLst>
                <a:ext uri="{FF2B5EF4-FFF2-40B4-BE49-F238E27FC236}">
                  <a16:creationId xmlns:a16="http://schemas.microsoft.com/office/drawing/2014/main" id="{0938AEF1-6B32-4EA8-B532-7726E653A154}"/>
                </a:ext>
              </a:extLst>
            </xdr:cNvPr>
            <xdr:cNvGraphicFramePr/>
          </xdr:nvGraphicFramePr>
          <xdr:xfrm>
            <a:off x="0" y="0"/>
            <a:ext cx="0" cy="0"/>
          </xdr:xfrm>
          <a:graphic>
            <a:graphicData uri="http://schemas.microsoft.com/office/drawing/2010/slicer">
              <sle:slicer xmlns:sle="http://schemas.microsoft.com/office/drawing/2010/slicer" name="Round of Average 13"/>
            </a:graphicData>
          </a:graphic>
        </xdr:graphicFrame>
      </mc:Choice>
      <mc:Fallback xmlns="">
        <xdr:sp macro="" textlink="">
          <xdr:nvSpPr>
            <xdr:cNvPr id="0" name=""/>
            <xdr:cNvSpPr>
              <a:spLocks noTextEdit="1"/>
            </xdr:cNvSpPr>
          </xdr:nvSpPr>
          <xdr:spPr>
            <a:xfrm>
              <a:off x="12740073" y="36446404"/>
              <a:ext cx="184146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4578460" y="36446404"/>
    <xdr:ext cx="1828331" cy="2524125"/>
    <mc:AlternateContent xmlns:mc="http://schemas.openxmlformats.org/markup-compatibility/2006" xmlns:sle15="http://schemas.microsoft.com/office/drawing/2012/slicer">
      <mc:Choice Requires="sle15">
        <xdr:graphicFrame macro="">
          <xdr:nvGraphicFramePr>
            <xdr:cNvPr id="42" name="Assignment 4">
              <a:extLst>
                <a:ext uri="{FF2B5EF4-FFF2-40B4-BE49-F238E27FC236}">
                  <a16:creationId xmlns:a16="http://schemas.microsoft.com/office/drawing/2014/main" id="{C4667E3F-15BF-42B7-B7CD-FE90E9B9ECA1}"/>
                </a:ext>
              </a:extLst>
            </xdr:cNvPr>
            <xdr:cNvGraphicFramePr/>
          </xdr:nvGraphicFramePr>
          <xdr:xfrm>
            <a:off x="0" y="0"/>
            <a:ext cx="0" cy="0"/>
          </xdr:xfrm>
          <a:graphic>
            <a:graphicData uri="http://schemas.microsoft.com/office/drawing/2010/slicer">
              <sle:slicer xmlns:sle="http://schemas.microsoft.com/office/drawing/2010/slicer" name="Assignment 4"/>
            </a:graphicData>
          </a:graphic>
        </xdr:graphicFrame>
      </mc:Choice>
      <mc:Fallback xmlns="">
        <xdr:sp macro="" textlink="">
          <xdr:nvSpPr>
            <xdr:cNvPr id="0" name=""/>
            <xdr:cNvSpPr>
              <a:spLocks noTextEdit="1"/>
            </xdr:cNvSpPr>
          </xdr:nvSpPr>
          <xdr:spPr>
            <a:xfrm>
              <a:off x="14578460" y="36446404"/>
              <a:ext cx="182833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6406109" y="36446404"/>
    <xdr:ext cx="1836855" cy="2524125"/>
    <mc:AlternateContent xmlns:mc="http://schemas.openxmlformats.org/markup-compatibility/2006" xmlns:sle15="http://schemas.microsoft.com/office/drawing/2012/slicer">
      <mc:Choice Requires="sle15">
        <xdr:graphicFrame macro="">
          <xdr:nvGraphicFramePr>
            <xdr:cNvPr id="43" name="Final 13">
              <a:extLst>
                <a:ext uri="{FF2B5EF4-FFF2-40B4-BE49-F238E27FC236}">
                  <a16:creationId xmlns:a16="http://schemas.microsoft.com/office/drawing/2014/main" id="{7477F432-8EA7-4A71-A109-70820F4DF08A}"/>
                </a:ext>
              </a:extLst>
            </xdr:cNvPr>
            <xdr:cNvGraphicFramePr/>
          </xdr:nvGraphicFramePr>
          <xdr:xfrm>
            <a:off x="0" y="0"/>
            <a:ext cx="0" cy="0"/>
          </xdr:xfrm>
          <a:graphic>
            <a:graphicData uri="http://schemas.microsoft.com/office/drawing/2010/slicer">
              <sle:slicer xmlns:sle="http://schemas.microsoft.com/office/drawing/2010/slicer" name="Final 13"/>
            </a:graphicData>
          </a:graphic>
        </xdr:graphicFrame>
      </mc:Choice>
      <mc:Fallback xmlns="">
        <xdr:sp macro="" textlink="">
          <xdr:nvSpPr>
            <xdr:cNvPr id="0" name=""/>
            <xdr:cNvSpPr>
              <a:spLocks noTextEdit="1"/>
            </xdr:cNvSpPr>
          </xdr:nvSpPr>
          <xdr:spPr>
            <a:xfrm>
              <a:off x="16406109" y="36446404"/>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8239457" y="36446404"/>
    <xdr:ext cx="1830322" cy="2524125"/>
    <mc:AlternateContent xmlns:mc="http://schemas.openxmlformats.org/markup-compatibility/2006" xmlns:sle15="http://schemas.microsoft.com/office/drawing/2012/slicer">
      <mc:Choice Requires="sle15">
        <xdr:graphicFrame macro="">
          <xdr:nvGraphicFramePr>
            <xdr:cNvPr id="44" name="Total 13">
              <a:extLst>
                <a:ext uri="{FF2B5EF4-FFF2-40B4-BE49-F238E27FC236}">
                  <a16:creationId xmlns:a16="http://schemas.microsoft.com/office/drawing/2014/main" id="{C17A20A7-D218-4C21-806E-51C7DFE81EEA}"/>
                </a:ext>
              </a:extLst>
            </xdr:cNvPr>
            <xdr:cNvGraphicFramePr/>
          </xdr:nvGraphicFramePr>
          <xdr:xfrm>
            <a:off x="0" y="0"/>
            <a:ext cx="0" cy="0"/>
          </xdr:xfrm>
          <a:graphic>
            <a:graphicData uri="http://schemas.microsoft.com/office/drawing/2010/slicer">
              <sle:slicer xmlns:sle="http://schemas.microsoft.com/office/drawing/2010/slicer" name="Total 13"/>
            </a:graphicData>
          </a:graphic>
        </xdr:graphicFrame>
      </mc:Choice>
      <mc:Fallback xmlns="">
        <xdr:sp macro="" textlink="">
          <xdr:nvSpPr>
            <xdr:cNvPr id="0" name=""/>
            <xdr:cNvSpPr>
              <a:spLocks noTextEdit="1"/>
            </xdr:cNvSpPr>
          </xdr:nvSpPr>
          <xdr:spPr>
            <a:xfrm>
              <a:off x="18239457" y="36446404"/>
              <a:ext cx="183032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0070490" y="36446404"/>
    <xdr:ext cx="1834747" cy="2524125"/>
    <mc:AlternateContent xmlns:mc="http://schemas.openxmlformats.org/markup-compatibility/2006" xmlns:sle15="http://schemas.microsoft.com/office/drawing/2012/slicer">
      <mc:Choice Requires="sle15">
        <xdr:graphicFrame macro="">
          <xdr:nvGraphicFramePr>
            <xdr:cNvPr id="45" name="Grade Scale 13">
              <a:extLst>
                <a:ext uri="{FF2B5EF4-FFF2-40B4-BE49-F238E27FC236}">
                  <a16:creationId xmlns:a16="http://schemas.microsoft.com/office/drawing/2014/main" id="{CA57F679-B02A-4033-9E25-3A0DB9192D40}"/>
                </a:ext>
              </a:extLst>
            </xdr:cNvPr>
            <xdr:cNvGraphicFramePr/>
          </xdr:nvGraphicFramePr>
          <xdr:xfrm>
            <a:off x="0" y="0"/>
            <a:ext cx="0" cy="0"/>
          </xdr:xfrm>
          <a:graphic>
            <a:graphicData uri="http://schemas.microsoft.com/office/drawing/2010/slicer">
              <sle:slicer xmlns:sle="http://schemas.microsoft.com/office/drawing/2010/slicer" name="Grade Scale 13"/>
            </a:graphicData>
          </a:graphic>
        </xdr:graphicFrame>
      </mc:Choice>
      <mc:Fallback xmlns="">
        <xdr:sp macro="" textlink="">
          <xdr:nvSpPr>
            <xdr:cNvPr id="0" name=""/>
            <xdr:cNvSpPr>
              <a:spLocks noTextEdit="1"/>
            </xdr:cNvSpPr>
          </xdr:nvSpPr>
          <xdr:spPr>
            <a:xfrm>
              <a:off x="20070490" y="36446404"/>
              <a:ext cx="183474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1901353" y="36446404"/>
    <xdr:ext cx="1817842" cy="2524125"/>
    <mc:AlternateContent xmlns:mc="http://schemas.openxmlformats.org/markup-compatibility/2006" xmlns:sle15="http://schemas.microsoft.com/office/drawing/2012/slicer">
      <mc:Choice Requires="sle15">
        <xdr:graphicFrame macro="">
          <xdr:nvGraphicFramePr>
            <xdr:cNvPr id="46" name="Grade Point 16">
              <a:extLst>
                <a:ext uri="{FF2B5EF4-FFF2-40B4-BE49-F238E27FC236}">
                  <a16:creationId xmlns:a16="http://schemas.microsoft.com/office/drawing/2014/main" id="{554E9817-9C82-4227-947B-732D89FA7270}"/>
                </a:ext>
              </a:extLst>
            </xdr:cNvPr>
            <xdr:cNvGraphicFramePr/>
          </xdr:nvGraphicFramePr>
          <xdr:xfrm>
            <a:off x="0" y="0"/>
            <a:ext cx="0" cy="0"/>
          </xdr:xfrm>
          <a:graphic>
            <a:graphicData uri="http://schemas.microsoft.com/office/drawing/2010/slicer">
              <sle:slicer xmlns:sle="http://schemas.microsoft.com/office/drawing/2010/slicer" name="Grade Point 16"/>
            </a:graphicData>
          </a:graphic>
        </xdr:graphicFrame>
      </mc:Choice>
      <mc:Fallback xmlns="">
        <xdr:sp macro="" textlink="">
          <xdr:nvSpPr>
            <xdr:cNvPr id="0" name=""/>
            <xdr:cNvSpPr>
              <a:spLocks noTextEdit="1"/>
            </xdr:cNvSpPr>
          </xdr:nvSpPr>
          <xdr:spPr>
            <a:xfrm>
              <a:off x="21901353" y="36446404"/>
              <a:ext cx="18178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0852316" y="45685654"/>
    <xdr:ext cx="1839006" cy="2524125"/>
    <mc:AlternateContent xmlns:mc="http://schemas.openxmlformats.org/markup-compatibility/2006" xmlns:sle15="http://schemas.microsoft.com/office/drawing/2012/slicer">
      <mc:Choice Requires="sle15">
        <xdr:graphicFrame macro="">
          <xdr:nvGraphicFramePr>
            <xdr:cNvPr id="54" name="Roll No 18">
              <a:extLst>
                <a:ext uri="{FF2B5EF4-FFF2-40B4-BE49-F238E27FC236}">
                  <a16:creationId xmlns:a16="http://schemas.microsoft.com/office/drawing/2014/main" id="{7422B555-66BD-4378-9739-FC5E204EC9D3}"/>
                </a:ext>
              </a:extLst>
            </xdr:cNvPr>
            <xdr:cNvGraphicFramePr/>
          </xdr:nvGraphicFramePr>
          <xdr:xfrm>
            <a:off x="0" y="0"/>
            <a:ext cx="0" cy="0"/>
          </xdr:xfrm>
          <a:graphic>
            <a:graphicData uri="http://schemas.microsoft.com/office/drawing/2010/slicer">
              <sle:slicer xmlns:sle="http://schemas.microsoft.com/office/drawing/2010/slicer" name="Roll No 18"/>
            </a:graphicData>
          </a:graphic>
        </xdr:graphicFrame>
      </mc:Choice>
      <mc:Fallback xmlns="">
        <xdr:sp macro="" textlink="">
          <xdr:nvSpPr>
            <xdr:cNvPr id="0" name=""/>
            <xdr:cNvSpPr>
              <a:spLocks noTextEdit="1"/>
            </xdr:cNvSpPr>
          </xdr:nvSpPr>
          <xdr:spPr>
            <a:xfrm>
              <a:off x="10852316" y="45685654"/>
              <a:ext cx="183900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2692455" y="45685654"/>
    <xdr:ext cx="1841469" cy="2524125"/>
    <mc:AlternateContent xmlns:mc="http://schemas.openxmlformats.org/markup-compatibility/2006" xmlns:sle15="http://schemas.microsoft.com/office/drawing/2012/slicer">
      <mc:Choice Requires="sle15">
        <xdr:graphicFrame macro="">
          <xdr:nvGraphicFramePr>
            <xdr:cNvPr id="55" name="Round of Average 14">
              <a:extLst>
                <a:ext uri="{FF2B5EF4-FFF2-40B4-BE49-F238E27FC236}">
                  <a16:creationId xmlns:a16="http://schemas.microsoft.com/office/drawing/2014/main" id="{039F87AD-D8FA-4F29-87B4-0916A0753BBD}"/>
                </a:ext>
              </a:extLst>
            </xdr:cNvPr>
            <xdr:cNvGraphicFramePr/>
          </xdr:nvGraphicFramePr>
          <xdr:xfrm>
            <a:off x="0" y="0"/>
            <a:ext cx="0" cy="0"/>
          </xdr:xfrm>
          <a:graphic>
            <a:graphicData uri="http://schemas.microsoft.com/office/drawing/2010/slicer">
              <sle:slicer xmlns:sle="http://schemas.microsoft.com/office/drawing/2010/slicer" name="Round of Average 14"/>
            </a:graphicData>
          </a:graphic>
        </xdr:graphicFrame>
      </mc:Choice>
      <mc:Fallback xmlns="">
        <xdr:sp macro="" textlink="">
          <xdr:nvSpPr>
            <xdr:cNvPr id="0" name=""/>
            <xdr:cNvSpPr>
              <a:spLocks noTextEdit="1"/>
            </xdr:cNvSpPr>
          </xdr:nvSpPr>
          <xdr:spPr>
            <a:xfrm>
              <a:off x="12692455" y="45685654"/>
              <a:ext cx="184146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4530842" y="45685654"/>
    <xdr:ext cx="1828331" cy="2524125"/>
    <mc:AlternateContent xmlns:mc="http://schemas.openxmlformats.org/markup-compatibility/2006" xmlns:sle15="http://schemas.microsoft.com/office/drawing/2012/slicer">
      <mc:Choice Requires="sle15">
        <xdr:graphicFrame macro="">
          <xdr:nvGraphicFramePr>
            <xdr:cNvPr id="56" name="Assignment 5">
              <a:extLst>
                <a:ext uri="{FF2B5EF4-FFF2-40B4-BE49-F238E27FC236}">
                  <a16:creationId xmlns:a16="http://schemas.microsoft.com/office/drawing/2014/main" id="{23E43C40-56C0-46AE-BAEC-3B47C7276CFE}"/>
                </a:ext>
              </a:extLst>
            </xdr:cNvPr>
            <xdr:cNvGraphicFramePr/>
          </xdr:nvGraphicFramePr>
          <xdr:xfrm>
            <a:off x="0" y="0"/>
            <a:ext cx="0" cy="0"/>
          </xdr:xfrm>
          <a:graphic>
            <a:graphicData uri="http://schemas.microsoft.com/office/drawing/2010/slicer">
              <sle:slicer xmlns:sle="http://schemas.microsoft.com/office/drawing/2010/slicer" name="Assignment 5"/>
            </a:graphicData>
          </a:graphic>
        </xdr:graphicFrame>
      </mc:Choice>
      <mc:Fallback xmlns="">
        <xdr:sp macro="" textlink="">
          <xdr:nvSpPr>
            <xdr:cNvPr id="0" name=""/>
            <xdr:cNvSpPr>
              <a:spLocks noTextEdit="1"/>
            </xdr:cNvSpPr>
          </xdr:nvSpPr>
          <xdr:spPr>
            <a:xfrm>
              <a:off x="14530842" y="45685654"/>
              <a:ext cx="182833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6358491" y="45685654"/>
    <xdr:ext cx="1836855" cy="2524125"/>
    <mc:AlternateContent xmlns:mc="http://schemas.openxmlformats.org/markup-compatibility/2006" xmlns:sle15="http://schemas.microsoft.com/office/drawing/2012/slicer">
      <mc:Choice Requires="sle15">
        <xdr:graphicFrame macro="">
          <xdr:nvGraphicFramePr>
            <xdr:cNvPr id="57" name="Final 14">
              <a:extLst>
                <a:ext uri="{FF2B5EF4-FFF2-40B4-BE49-F238E27FC236}">
                  <a16:creationId xmlns:a16="http://schemas.microsoft.com/office/drawing/2014/main" id="{98DBB9CF-1CB0-42C1-B6B5-707CCA4CCF53}"/>
                </a:ext>
              </a:extLst>
            </xdr:cNvPr>
            <xdr:cNvGraphicFramePr/>
          </xdr:nvGraphicFramePr>
          <xdr:xfrm>
            <a:off x="0" y="0"/>
            <a:ext cx="0" cy="0"/>
          </xdr:xfrm>
          <a:graphic>
            <a:graphicData uri="http://schemas.microsoft.com/office/drawing/2010/slicer">
              <sle:slicer xmlns:sle="http://schemas.microsoft.com/office/drawing/2010/slicer" name="Final 14"/>
            </a:graphicData>
          </a:graphic>
        </xdr:graphicFrame>
      </mc:Choice>
      <mc:Fallback xmlns="">
        <xdr:sp macro="" textlink="">
          <xdr:nvSpPr>
            <xdr:cNvPr id="0" name=""/>
            <xdr:cNvSpPr>
              <a:spLocks noTextEdit="1"/>
            </xdr:cNvSpPr>
          </xdr:nvSpPr>
          <xdr:spPr>
            <a:xfrm>
              <a:off x="16358491" y="45685654"/>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8191839" y="45685654"/>
    <xdr:ext cx="1830322" cy="2524125"/>
    <mc:AlternateContent xmlns:mc="http://schemas.openxmlformats.org/markup-compatibility/2006" xmlns:sle15="http://schemas.microsoft.com/office/drawing/2012/slicer">
      <mc:Choice Requires="sle15">
        <xdr:graphicFrame macro="">
          <xdr:nvGraphicFramePr>
            <xdr:cNvPr id="58" name="Total 14">
              <a:extLst>
                <a:ext uri="{FF2B5EF4-FFF2-40B4-BE49-F238E27FC236}">
                  <a16:creationId xmlns:a16="http://schemas.microsoft.com/office/drawing/2014/main" id="{4CF7866B-43AB-441D-983D-5EDB8C93DF43}"/>
                </a:ext>
              </a:extLst>
            </xdr:cNvPr>
            <xdr:cNvGraphicFramePr/>
          </xdr:nvGraphicFramePr>
          <xdr:xfrm>
            <a:off x="0" y="0"/>
            <a:ext cx="0" cy="0"/>
          </xdr:xfrm>
          <a:graphic>
            <a:graphicData uri="http://schemas.microsoft.com/office/drawing/2010/slicer">
              <sle:slicer xmlns:sle="http://schemas.microsoft.com/office/drawing/2010/slicer" name="Total 14"/>
            </a:graphicData>
          </a:graphic>
        </xdr:graphicFrame>
      </mc:Choice>
      <mc:Fallback xmlns="">
        <xdr:sp macro="" textlink="">
          <xdr:nvSpPr>
            <xdr:cNvPr id="0" name=""/>
            <xdr:cNvSpPr>
              <a:spLocks noTextEdit="1"/>
            </xdr:cNvSpPr>
          </xdr:nvSpPr>
          <xdr:spPr>
            <a:xfrm>
              <a:off x="18191839" y="45685654"/>
              <a:ext cx="183032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0022872" y="45685654"/>
    <xdr:ext cx="1834747" cy="2524125"/>
    <mc:AlternateContent xmlns:mc="http://schemas.openxmlformats.org/markup-compatibility/2006" xmlns:sle15="http://schemas.microsoft.com/office/drawing/2012/slicer">
      <mc:Choice Requires="sle15">
        <xdr:graphicFrame macro="">
          <xdr:nvGraphicFramePr>
            <xdr:cNvPr id="59" name="Grade Scale 14">
              <a:extLst>
                <a:ext uri="{FF2B5EF4-FFF2-40B4-BE49-F238E27FC236}">
                  <a16:creationId xmlns:a16="http://schemas.microsoft.com/office/drawing/2014/main" id="{55D4B901-54CD-409C-8936-A276DBF6D560}"/>
                </a:ext>
              </a:extLst>
            </xdr:cNvPr>
            <xdr:cNvGraphicFramePr/>
          </xdr:nvGraphicFramePr>
          <xdr:xfrm>
            <a:off x="0" y="0"/>
            <a:ext cx="0" cy="0"/>
          </xdr:xfrm>
          <a:graphic>
            <a:graphicData uri="http://schemas.microsoft.com/office/drawing/2010/slicer">
              <sle:slicer xmlns:sle="http://schemas.microsoft.com/office/drawing/2010/slicer" name="Grade Scale 14"/>
            </a:graphicData>
          </a:graphic>
        </xdr:graphicFrame>
      </mc:Choice>
      <mc:Fallback xmlns="">
        <xdr:sp macro="" textlink="">
          <xdr:nvSpPr>
            <xdr:cNvPr id="0" name=""/>
            <xdr:cNvSpPr>
              <a:spLocks noTextEdit="1"/>
            </xdr:cNvSpPr>
          </xdr:nvSpPr>
          <xdr:spPr>
            <a:xfrm>
              <a:off x="20022872" y="45685654"/>
              <a:ext cx="183474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1853735" y="45685654"/>
    <xdr:ext cx="1817842" cy="2524125"/>
    <mc:AlternateContent xmlns:mc="http://schemas.openxmlformats.org/markup-compatibility/2006" xmlns:sle15="http://schemas.microsoft.com/office/drawing/2012/slicer">
      <mc:Choice Requires="sle15">
        <xdr:graphicFrame macro="">
          <xdr:nvGraphicFramePr>
            <xdr:cNvPr id="60" name="Grade Point 17">
              <a:extLst>
                <a:ext uri="{FF2B5EF4-FFF2-40B4-BE49-F238E27FC236}">
                  <a16:creationId xmlns:a16="http://schemas.microsoft.com/office/drawing/2014/main" id="{E533BEA8-9782-4F42-954E-DDE57789B98E}"/>
                </a:ext>
              </a:extLst>
            </xdr:cNvPr>
            <xdr:cNvGraphicFramePr/>
          </xdr:nvGraphicFramePr>
          <xdr:xfrm>
            <a:off x="0" y="0"/>
            <a:ext cx="0" cy="0"/>
          </xdr:xfrm>
          <a:graphic>
            <a:graphicData uri="http://schemas.microsoft.com/office/drawing/2010/slicer">
              <sle:slicer xmlns:sle="http://schemas.microsoft.com/office/drawing/2010/slicer" name="Grade Point 17"/>
            </a:graphicData>
          </a:graphic>
        </xdr:graphicFrame>
      </mc:Choice>
      <mc:Fallback xmlns="">
        <xdr:sp macro="" textlink="">
          <xdr:nvSpPr>
            <xdr:cNvPr id="0" name=""/>
            <xdr:cNvSpPr>
              <a:spLocks noTextEdit="1"/>
            </xdr:cNvSpPr>
          </xdr:nvSpPr>
          <xdr:spPr>
            <a:xfrm>
              <a:off x="21853735" y="45685654"/>
              <a:ext cx="18178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twoCellAnchor editAs="absolute">
    <xdr:from>
      <xdr:col>10</xdr:col>
      <xdr:colOff>1882367</xdr:colOff>
      <xdr:row>0</xdr:row>
      <xdr:rowOff>110092</xdr:rowOff>
    </xdr:from>
    <xdr:to>
      <xdr:col>10</xdr:col>
      <xdr:colOff>3722373</xdr:colOff>
      <xdr:row>11</xdr:row>
      <xdr:rowOff>190499</xdr:rowOff>
    </xdr:to>
    <mc:AlternateContent xmlns:mc="http://schemas.openxmlformats.org/markup-compatibility/2006" xmlns:sle15="http://schemas.microsoft.com/office/drawing/2012/slicer">
      <mc:Choice Requires="sle15">
        <xdr:graphicFrame macro="">
          <xdr:nvGraphicFramePr>
            <xdr:cNvPr id="12" name="Total Subject CGPA 1">
              <a:extLst>
                <a:ext uri="{FF2B5EF4-FFF2-40B4-BE49-F238E27FC236}">
                  <a16:creationId xmlns:a16="http://schemas.microsoft.com/office/drawing/2014/main" id="{EA94BDEF-D512-4F8D-978B-6B3E5EF151A0}"/>
                </a:ext>
              </a:extLst>
            </xdr:cNvPr>
            <xdr:cNvGraphicFramePr/>
          </xdr:nvGraphicFramePr>
          <xdr:xfrm>
            <a:off x="0" y="0"/>
            <a:ext cx="0" cy="0"/>
          </xdr:xfrm>
          <a:graphic>
            <a:graphicData uri="http://schemas.microsoft.com/office/drawing/2010/slicer">
              <sle:slicer xmlns:sle="http://schemas.microsoft.com/office/drawing/2010/slicer" name="Total Subject CGPA 1"/>
            </a:graphicData>
          </a:graphic>
        </xdr:graphicFrame>
      </mc:Choice>
      <mc:Fallback xmlns="">
        <xdr:sp macro="" textlink="">
          <xdr:nvSpPr>
            <xdr:cNvPr id="0" name=""/>
            <xdr:cNvSpPr>
              <a:spLocks noTextEdit="1"/>
            </xdr:cNvSpPr>
          </xdr:nvSpPr>
          <xdr:spPr>
            <a:xfrm>
              <a:off x="22422749" y="110092"/>
              <a:ext cx="1840006" cy="2175907"/>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6.xml><?xml version="1.0" encoding="utf-8"?>
<xdr:wsDr xmlns:xdr="http://schemas.openxmlformats.org/drawingml/2006/spreadsheetDrawing" xmlns:a="http://schemas.openxmlformats.org/drawingml/2006/main">
  <xdr:twoCellAnchor editAs="absolute">
    <xdr:from>
      <xdr:col>8</xdr:col>
      <xdr:colOff>761022</xdr:colOff>
      <xdr:row>0</xdr:row>
      <xdr:rowOff>110092</xdr:rowOff>
    </xdr:from>
    <xdr:to>
      <xdr:col>9</xdr:col>
      <xdr:colOff>1205652</xdr:colOff>
      <xdr:row>12</xdr:row>
      <xdr:rowOff>6804</xdr:rowOff>
    </xdr:to>
    <mc:AlternateContent xmlns:mc="http://schemas.openxmlformats.org/markup-compatibility/2006" xmlns:sle15="http://schemas.microsoft.com/office/drawing/2012/slicer">
      <mc:Choice Requires="sle15">
        <xdr:graphicFrame macro="">
          <xdr:nvGraphicFramePr>
            <xdr:cNvPr id="2" name="Roll No 8">
              <a:extLst>
                <a:ext uri="{FF2B5EF4-FFF2-40B4-BE49-F238E27FC236}">
                  <a16:creationId xmlns:a16="http://schemas.microsoft.com/office/drawing/2014/main" id="{74711BA7-11BB-4C37-8C05-98AA689ED0CC}"/>
                </a:ext>
              </a:extLst>
            </xdr:cNvPr>
            <xdr:cNvGraphicFramePr/>
          </xdr:nvGraphicFramePr>
          <xdr:xfrm>
            <a:off x="0" y="0"/>
            <a:ext cx="0" cy="0"/>
          </xdr:xfrm>
          <a:graphic>
            <a:graphicData uri="http://schemas.microsoft.com/office/drawing/2010/slicer">
              <sle:slicer xmlns:sle="http://schemas.microsoft.com/office/drawing/2010/slicer" name="Roll No 8"/>
            </a:graphicData>
          </a:graphic>
        </xdr:graphicFrame>
      </mc:Choice>
      <mc:Fallback xmlns="">
        <xdr:sp macro="" textlink="">
          <xdr:nvSpPr>
            <xdr:cNvPr id="0" name=""/>
            <xdr:cNvSpPr>
              <a:spLocks noTextEdit="1"/>
            </xdr:cNvSpPr>
          </xdr:nvSpPr>
          <xdr:spPr>
            <a:xfrm>
              <a:off x="16516493" y="110092"/>
              <a:ext cx="1811747" cy="2182712"/>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4</xdr:col>
      <xdr:colOff>3116706</xdr:colOff>
      <xdr:row>45</xdr:row>
      <xdr:rowOff>120802</xdr:rowOff>
    </xdr:from>
    <xdr:to>
      <xdr:col>6</xdr:col>
      <xdr:colOff>318006</xdr:colOff>
      <xdr:row>58</xdr:row>
      <xdr:rowOff>168427</xdr:rowOff>
    </xdr:to>
    <mc:AlternateContent xmlns:mc="http://schemas.openxmlformats.org/markup-compatibility/2006" xmlns:sle15="http://schemas.microsoft.com/office/drawing/2012/slicer">
      <mc:Choice Requires="sle15">
        <xdr:graphicFrame macro="">
          <xdr:nvGraphicFramePr>
            <xdr:cNvPr id="3" name="Roll No 9">
              <a:extLst>
                <a:ext uri="{FF2B5EF4-FFF2-40B4-BE49-F238E27FC236}">
                  <a16:creationId xmlns:a16="http://schemas.microsoft.com/office/drawing/2014/main" id="{50A1B451-1A8B-496D-A574-4F9437A4F4D6}"/>
                </a:ext>
              </a:extLst>
            </xdr:cNvPr>
            <xdr:cNvGraphicFramePr/>
          </xdr:nvGraphicFramePr>
          <xdr:xfrm>
            <a:off x="0" y="0"/>
            <a:ext cx="0" cy="0"/>
          </xdr:xfrm>
          <a:graphic>
            <a:graphicData uri="http://schemas.microsoft.com/office/drawing/2010/slicer">
              <sle:slicer xmlns:sle="http://schemas.microsoft.com/office/drawing/2010/slicer" name="Roll No 9"/>
            </a:graphicData>
          </a:graphic>
        </xdr:graphicFrame>
      </mc:Choice>
      <mc:Fallback xmlns="">
        <xdr:sp macro="" textlink="">
          <xdr:nvSpPr>
            <xdr:cNvPr id="0" name=""/>
            <xdr:cNvSpPr>
              <a:spLocks noTextEdit="1"/>
            </xdr:cNvSpPr>
          </xdr:nvSpPr>
          <xdr:spPr>
            <a:xfrm>
              <a:off x="10344500" y="8693302"/>
              <a:ext cx="185174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299867</xdr:colOff>
      <xdr:row>45</xdr:row>
      <xdr:rowOff>120802</xdr:rowOff>
    </xdr:from>
    <xdr:to>
      <xdr:col>7</xdr:col>
      <xdr:colOff>659449</xdr:colOff>
      <xdr:row>58</xdr:row>
      <xdr:rowOff>168427</xdr:rowOff>
    </xdr:to>
    <mc:AlternateContent xmlns:mc="http://schemas.openxmlformats.org/markup-compatibility/2006" xmlns:sle15="http://schemas.microsoft.com/office/drawing/2012/slicer">
      <mc:Choice Requires="sle15">
        <xdr:graphicFrame macro="">
          <xdr:nvGraphicFramePr>
            <xdr:cNvPr id="4" name="Round of Average 5">
              <a:extLst>
                <a:ext uri="{FF2B5EF4-FFF2-40B4-BE49-F238E27FC236}">
                  <a16:creationId xmlns:a16="http://schemas.microsoft.com/office/drawing/2014/main" id="{DBCAE325-654B-4E32-9A33-63216C838194}"/>
                </a:ext>
              </a:extLst>
            </xdr:cNvPr>
            <xdr:cNvGraphicFramePr/>
          </xdr:nvGraphicFramePr>
          <xdr:xfrm>
            <a:off x="0" y="0"/>
            <a:ext cx="0" cy="0"/>
          </xdr:xfrm>
          <a:graphic>
            <a:graphicData uri="http://schemas.microsoft.com/office/drawing/2010/slicer">
              <sle:slicer xmlns:sle="http://schemas.microsoft.com/office/drawing/2010/slicer" name="Round of Average 5"/>
            </a:graphicData>
          </a:graphic>
        </xdr:graphicFrame>
      </mc:Choice>
      <mc:Fallback xmlns="">
        <xdr:sp macro="" textlink="">
          <xdr:nvSpPr>
            <xdr:cNvPr id="0" name=""/>
            <xdr:cNvSpPr>
              <a:spLocks noTextEdit="1"/>
            </xdr:cNvSpPr>
          </xdr:nvSpPr>
          <xdr:spPr>
            <a:xfrm>
              <a:off x="12178102" y="8693302"/>
              <a:ext cx="1827553"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659896</xdr:colOff>
      <xdr:row>45</xdr:row>
      <xdr:rowOff>120802</xdr:rowOff>
    </xdr:from>
    <xdr:to>
      <xdr:col>8</xdr:col>
      <xdr:colOff>83059</xdr:colOff>
      <xdr:row>58</xdr:row>
      <xdr:rowOff>168427</xdr:rowOff>
    </xdr:to>
    <mc:AlternateContent xmlns:mc="http://schemas.openxmlformats.org/markup-compatibility/2006" xmlns:sle15="http://schemas.microsoft.com/office/drawing/2012/slicer">
      <mc:Choice Requires="sle15">
        <xdr:graphicFrame macro="">
          <xdr:nvGraphicFramePr>
            <xdr:cNvPr id="5" name="Midterm 4">
              <a:extLst>
                <a:ext uri="{FF2B5EF4-FFF2-40B4-BE49-F238E27FC236}">
                  <a16:creationId xmlns:a16="http://schemas.microsoft.com/office/drawing/2014/main" id="{06BD5E15-0FCD-435F-8848-4614927121D6}"/>
                </a:ext>
              </a:extLst>
            </xdr:cNvPr>
            <xdr:cNvGraphicFramePr/>
          </xdr:nvGraphicFramePr>
          <xdr:xfrm>
            <a:off x="0" y="0"/>
            <a:ext cx="0" cy="0"/>
          </xdr:xfrm>
          <a:graphic>
            <a:graphicData uri="http://schemas.microsoft.com/office/drawing/2010/slicer">
              <sle:slicer xmlns:sle="http://schemas.microsoft.com/office/drawing/2010/slicer" name="Midterm 4"/>
            </a:graphicData>
          </a:graphic>
        </xdr:graphicFrame>
      </mc:Choice>
      <mc:Fallback xmlns="">
        <xdr:sp macro="" textlink="">
          <xdr:nvSpPr>
            <xdr:cNvPr id="0" name=""/>
            <xdr:cNvSpPr>
              <a:spLocks noTextEdit="1"/>
            </xdr:cNvSpPr>
          </xdr:nvSpPr>
          <xdr:spPr>
            <a:xfrm>
              <a:off x="14006102" y="8693302"/>
              <a:ext cx="183242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72963</xdr:colOff>
      <xdr:row>45</xdr:row>
      <xdr:rowOff>120802</xdr:rowOff>
    </xdr:from>
    <xdr:to>
      <xdr:col>9</xdr:col>
      <xdr:colOff>534253</xdr:colOff>
      <xdr:row>58</xdr:row>
      <xdr:rowOff>168427</xdr:rowOff>
    </xdr:to>
    <mc:AlternateContent xmlns:mc="http://schemas.openxmlformats.org/markup-compatibility/2006" xmlns:sle15="http://schemas.microsoft.com/office/drawing/2012/slicer">
      <mc:Choice Requires="sle15">
        <xdr:graphicFrame macro="">
          <xdr:nvGraphicFramePr>
            <xdr:cNvPr id="6" name="Final 5">
              <a:extLst>
                <a:ext uri="{FF2B5EF4-FFF2-40B4-BE49-F238E27FC236}">
                  <a16:creationId xmlns:a16="http://schemas.microsoft.com/office/drawing/2014/main" id="{B42C717D-B865-4C8B-A068-2A0F500291DC}"/>
                </a:ext>
              </a:extLst>
            </xdr:cNvPr>
            <xdr:cNvGraphicFramePr/>
          </xdr:nvGraphicFramePr>
          <xdr:xfrm>
            <a:off x="0" y="0"/>
            <a:ext cx="0" cy="0"/>
          </xdr:xfrm>
          <a:graphic>
            <a:graphicData uri="http://schemas.microsoft.com/office/drawing/2010/slicer">
              <sle:slicer xmlns:sle="http://schemas.microsoft.com/office/drawing/2010/slicer" name="Final 5"/>
            </a:graphicData>
          </a:graphic>
        </xdr:graphicFrame>
      </mc:Choice>
      <mc:Fallback xmlns="">
        <xdr:sp macro="" textlink="">
          <xdr:nvSpPr>
            <xdr:cNvPr id="0" name=""/>
            <xdr:cNvSpPr>
              <a:spLocks noTextEdit="1"/>
            </xdr:cNvSpPr>
          </xdr:nvSpPr>
          <xdr:spPr>
            <a:xfrm>
              <a:off x="15828434" y="8693302"/>
              <a:ext cx="182840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532531</xdr:colOff>
      <xdr:row>45</xdr:row>
      <xdr:rowOff>120802</xdr:rowOff>
    </xdr:from>
    <xdr:to>
      <xdr:col>10</xdr:col>
      <xdr:colOff>595702</xdr:colOff>
      <xdr:row>58</xdr:row>
      <xdr:rowOff>168427</xdr:rowOff>
    </xdr:to>
    <mc:AlternateContent xmlns:mc="http://schemas.openxmlformats.org/markup-compatibility/2006" xmlns:sle15="http://schemas.microsoft.com/office/drawing/2012/slicer">
      <mc:Choice Requires="sle15">
        <xdr:graphicFrame macro="">
          <xdr:nvGraphicFramePr>
            <xdr:cNvPr id="7" name="Total 5">
              <a:extLst>
                <a:ext uri="{FF2B5EF4-FFF2-40B4-BE49-F238E27FC236}">
                  <a16:creationId xmlns:a16="http://schemas.microsoft.com/office/drawing/2014/main" id="{C3491855-8179-403D-A73C-36142F91AFF6}"/>
                </a:ext>
              </a:extLst>
            </xdr:cNvPr>
            <xdr:cNvGraphicFramePr/>
          </xdr:nvGraphicFramePr>
          <xdr:xfrm>
            <a:off x="0" y="0"/>
            <a:ext cx="0" cy="0"/>
          </xdr:xfrm>
          <a:graphic>
            <a:graphicData uri="http://schemas.microsoft.com/office/drawing/2010/slicer">
              <sle:slicer xmlns:sle="http://schemas.microsoft.com/office/drawing/2010/slicer" name="Total 5"/>
            </a:graphicData>
          </a:graphic>
        </xdr:graphicFrame>
      </mc:Choice>
      <mc:Fallback xmlns="">
        <xdr:sp macro="" textlink="">
          <xdr:nvSpPr>
            <xdr:cNvPr id="0" name=""/>
            <xdr:cNvSpPr>
              <a:spLocks noTextEdit="1"/>
            </xdr:cNvSpPr>
          </xdr:nvSpPr>
          <xdr:spPr>
            <a:xfrm>
              <a:off x="17655119" y="8693302"/>
              <a:ext cx="183370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596998</xdr:colOff>
      <xdr:row>45</xdr:row>
      <xdr:rowOff>120802</xdr:rowOff>
    </xdr:from>
    <xdr:to>
      <xdr:col>10</xdr:col>
      <xdr:colOff>2445492</xdr:colOff>
      <xdr:row>58</xdr:row>
      <xdr:rowOff>168427</xdr:rowOff>
    </xdr:to>
    <mc:AlternateContent xmlns:mc="http://schemas.openxmlformats.org/markup-compatibility/2006" xmlns:sle15="http://schemas.microsoft.com/office/drawing/2012/slicer">
      <mc:Choice Requires="sle15">
        <xdr:graphicFrame macro="">
          <xdr:nvGraphicFramePr>
            <xdr:cNvPr id="8" name="Grade Scale 5">
              <a:extLst>
                <a:ext uri="{FF2B5EF4-FFF2-40B4-BE49-F238E27FC236}">
                  <a16:creationId xmlns:a16="http://schemas.microsoft.com/office/drawing/2014/main" id="{ECA500BE-A4AB-403E-95F8-ADA0486755B5}"/>
                </a:ext>
              </a:extLst>
            </xdr:cNvPr>
            <xdr:cNvGraphicFramePr/>
          </xdr:nvGraphicFramePr>
          <xdr:xfrm>
            <a:off x="0" y="0"/>
            <a:ext cx="0" cy="0"/>
          </xdr:xfrm>
          <a:graphic>
            <a:graphicData uri="http://schemas.microsoft.com/office/drawing/2010/slicer">
              <sle:slicer xmlns:sle="http://schemas.microsoft.com/office/drawing/2010/slicer" name="Grade Scale 5"/>
            </a:graphicData>
          </a:graphic>
        </xdr:graphicFrame>
      </mc:Choice>
      <mc:Fallback xmlns="">
        <xdr:sp macro="" textlink="">
          <xdr:nvSpPr>
            <xdr:cNvPr id="0" name=""/>
            <xdr:cNvSpPr>
              <a:spLocks noTextEdit="1"/>
            </xdr:cNvSpPr>
          </xdr:nvSpPr>
          <xdr:spPr>
            <a:xfrm>
              <a:off x="19490116" y="8693302"/>
              <a:ext cx="1848494"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2434095</xdr:colOff>
      <xdr:row>45</xdr:row>
      <xdr:rowOff>120802</xdr:rowOff>
    </xdr:from>
    <xdr:to>
      <xdr:col>12</xdr:col>
      <xdr:colOff>239069</xdr:colOff>
      <xdr:row>58</xdr:row>
      <xdr:rowOff>168427</xdr:rowOff>
    </xdr:to>
    <mc:AlternateContent xmlns:mc="http://schemas.openxmlformats.org/markup-compatibility/2006" xmlns:sle15="http://schemas.microsoft.com/office/drawing/2012/slicer">
      <mc:Choice Requires="sle15">
        <xdr:graphicFrame macro="">
          <xdr:nvGraphicFramePr>
            <xdr:cNvPr id="9" name="Grade Point 7">
              <a:extLst>
                <a:ext uri="{FF2B5EF4-FFF2-40B4-BE49-F238E27FC236}">
                  <a16:creationId xmlns:a16="http://schemas.microsoft.com/office/drawing/2014/main" id="{9483447C-850A-4EFE-B99F-14344C771BAA}"/>
                </a:ext>
              </a:extLst>
            </xdr:cNvPr>
            <xdr:cNvGraphicFramePr/>
          </xdr:nvGraphicFramePr>
          <xdr:xfrm>
            <a:off x="0" y="0"/>
            <a:ext cx="0" cy="0"/>
          </xdr:xfrm>
          <a:graphic>
            <a:graphicData uri="http://schemas.microsoft.com/office/drawing/2010/slicer">
              <sle:slicer xmlns:sle="http://schemas.microsoft.com/office/drawing/2010/slicer" name="Grade Point 7"/>
            </a:graphicData>
          </a:graphic>
        </xdr:graphicFrame>
      </mc:Choice>
      <mc:Fallback xmlns="">
        <xdr:sp macro="" textlink="">
          <xdr:nvSpPr>
            <xdr:cNvPr id="0" name=""/>
            <xdr:cNvSpPr>
              <a:spLocks noTextEdit="1"/>
            </xdr:cNvSpPr>
          </xdr:nvSpPr>
          <xdr:spPr>
            <a:xfrm>
              <a:off x="21327213" y="8693302"/>
              <a:ext cx="181668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4</xdr:col>
      <xdr:colOff>3180473</xdr:colOff>
      <xdr:row>92</xdr:row>
      <xdr:rowOff>120280</xdr:rowOff>
    </xdr:from>
    <xdr:to>
      <xdr:col>6</xdr:col>
      <xdr:colOff>378842</xdr:colOff>
      <xdr:row>105</xdr:row>
      <xdr:rowOff>167905</xdr:rowOff>
    </xdr:to>
    <mc:AlternateContent xmlns:mc="http://schemas.openxmlformats.org/markup-compatibility/2006" xmlns:sle15="http://schemas.microsoft.com/office/drawing/2012/slicer">
      <mc:Choice Requires="sle15">
        <xdr:graphicFrame macro="">
          <xdr:nvGraphicFramePr>
            <xdr:cNvPr id="10" name="Roll No 19">
              <a:extLst>
                <a:ext uri="{FF2B5EF4-FFF2-40B4-BE49-F238E27FC236}">
                  <a16:creationId xmlns:a16="http://schemas.microsoft.com/office/drawing/2014/main" id="{28DE5E96-AF52-4066-9A97-5234C90CAD5B}"/>
                </a:ext>
              </a:extLst>
            </xdr:cNvPr>
            <xdr:cNvGraphicFramePr/>
          </xdr:nvGraphicFramePr>
          <xdr:xfrm>
            <a:off x="0" y="0"/>
            <a:ext cx="0" cy="0"/>
          </xdr:xfrm>
          <a:graphic>
            <a:graphicData uri="http://schemas.microsoft.com/office/drawing/2010/slicer">
              <sle:slicer xmlns:sle="http://schemas.microsoft.com/office/drawing/2010/slicer" name="Roll No 19"/>
            </a:graphicData>
          </a:graphic>
        </xdr:graphicFrame>
      </mc:Choice>
      <mc:Fallback xmlns="">
        <xdr:sp macro="" textlink="">
          <xdr:nvSpPr>
            <xdr:cNvPr id="0" name=""/>
            <xdr:cNvSpPr>
              <a:spLocks noTextEdit="1"/>
            </xdr:cNvSpPr>
          </xdr:nvSpPr>
          <xdr:spPr>
            <a:xfrm>
              <a:off x="10408267" y="17971251"/>
              <a:ext cx="184881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379975</xdr:colOff>
      <xdr:row>92</xdr:row>
      <xdr:rowOff>120280</xdr:rowOff>
    </xdr:from>
    <xdr:to>
      <xdr:col>7</xdr:col>
      <xdr:colOff>733863</xdr:colOff>
      <xdr:row>105</xdr:row>
      <xdr:rowOff>167905</xdr:rowOff>
    </xdr:to>
    <mc:AlternateContent xmlns:mc="http://schemas.openxmlformats.org/markup-compatibility/2006" xmlns:sle15="http://schemas.microsoft.com/office/drawing/2012/slicer">
      <mc:Choice Requires="sle15">
        <xdr:graphicFrame macro="">
          <xdr:nvGraphicFramePr>
            <xdr:cNvPr id="11" name="Round of Average 15">
              <a:extLst>
                <a:ext uri="{FF2B5EF4-FFF2-40B4-BE49-F238E27FC236}">
                  <a16:creationId xmlns:a16="http://schemas.microsoft.com/office/drawing/2014/main" id="{1F518C5D-E62A-4643-A4FE-369738EA79F2}"/>
                </a:ext>
              </a:extLst>
            </xdr:cNvPr>
            <xdr:cNvGraphicFramePr/>
          </xdr:nvGraphicFramePr>
          <xdr:xfrm>
            <a:off x="0" y="0"/>
            <a:ext cx="0" cy="0"/>
          </xdr:xfrm>
          <a:graphic>
            <a:graphicData uri="http://schemas.microsoft.com/office/drawing/2010/slicer">
              <sle:slicer xmlns:sle="http://schemas.microsoft.com/office/drawing/2010/slicer" name="Round of Average 15"/>
            </a:graphicData>
          </a:graphic>
        </xdr:graphicFrame>
      </mc:Choice>
      <mc:Fallback xmlns="">
        <xdr:sp macro="" textlink="">
          <xdr:nvSpPr>
            <xdr:cNvPr id="0" name=""/>
            <xdr:cNvSpPr>
              <a:spLocks noTextEdit="1"/>
            </xdr:cNvSpPr>
          </xdr:nvSpPr>
          <xdr:spPr>
            <a:xfrm>
              <a:off x="12258210" y="17971251"/>
              <a:ext cx="182185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730781</xdr:colOff>
      <xdr:row>92</xdr:row>
      <xdr:rowOff>120280</xdr:rowOff>
    </xdr:from>
    <xdr:to>
      <xdr:col>8</xdr:col>
      <xdr:colOff>158253</xdr:colOff>
      <xdr:row>105</xdr:row>
      <xdr:rowOff>167905</xdr:rowOff>
    </xdr:to>
    <mc:AlternateContent xmlns:mc="http://schemas.openxmlformats.org/markup-compatibility/2006" xmlns:sle15="http://schemas.microsoft.com/office/drawing/2012/slicer">
      <mc:Choice Requires="sle15">
        <xdr:graphicFrame macro="">
          <xdr:nvGraphicFramePr>
            <xdr:cNvPr id="12" name="Assignment 6">
              <a:extLst>
                <a:ext uri="{FF2B5EF4-FFF2-40B4-BE49-F238E27FC236}">
                  <a16:creationId xmlns:a16="http://schemas.microsoft.com/office/drawing/2014/main" id="{D16A373A-CD9B-4474-BCEF-A177BF337598}"/>
                </a:ext>
              </a:extLst>
            </xdr:cNvPr>
            <xdr:cNvGraphicFramePr/>
          </xdr:nvGraphicFramePr>
          <xdr:xfrm>
            <a:off x="0" y="0"/>
            <a:ext cx="0" cy="0"/>
          </xdr:xfrm>
          <a:graphic>
            <a:graphicData uri="http://schemas.microsoft.com/office/drawing/2010/slicer">
              <sle:slicer xmlns:sle="http://schemas.microsoft.com/office/drawing/2010/slicer" name="Assignment 6"/>
            </a:graphicData>
          </a:graphic>
        </xdr:graphicFrame>
      </mc:Choice>
      <mc:Fallback xmlns="">
        <xdr:sp macro="" textlink="">
          <xdr:nvSpPr>
            <xdr:cNvPr id="0" name=""/>
            <xdr:cNvSpPr>
              <a:spLocks noTextEdit="1"/>
            </xdr:cNvSpPr>
          </xdr:nvSpPr>
          <xdr:spPr>
            <a:xfrm>
              <a:off x="14076987" y="17971251"/>
              <a:ext cx="183673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157571</xdr:colOff>
      <xdr:row>92</xdr:row>
      <xdr:rowOff>120280</xdr:rowOff>
    </xdr:from>
    <xdr:to>
      <xdr:col>9</xdr:col>
      <xdr:colOff>621705</xdr:colOff>
      <xdr:row>105</xdr:row>
      <xdr:rowOff>167905</xdr:rowOff>
    </xdr:to>
    <mc:AlternateContent xmlns:mc="http://schemas.openxmlformats.org/markup-compatibility/2006" xmlns:sle15="http://schemas.microsoft.com/office/drawing/2012/slicer">
      <mc:Choice Requires="sle15">
        <xdr:graphicFrame macro="">
          <xdr:nvGraphicFramePr>
            <xdr:cNvPr id="13" name="Final 15">
              <a:extLst>
                <a:ext uri="{FF2B5EF4-FFF2-40B4-BE49-F238E27FC236}">
                  <a16:creationId xmlns:a16="http://schemas.microsoft.com/office/drawing/2014/main" id="{4E6C75E6-5037-4294-A4D7-4B224F3571E1}"/>
                </a:ext>
              </a:extLst>
            </xdr:cNvPr>
            <xdr:cNvGraphicFramePr/>
          </xdr:nvGraphicFramePr>
          <xdr:xfrm>
            <a:off x="0" y="0"/>
            <a:ext cx="0" cy="0"/>
          </xdr:xfrm>
          <a:graphic>
            <a:graphicData uri="http://schemas.microsoft.com/office/drawing/2010/slicer">
              <sle:slicer xmlns:sle="http://schemas.microsoft.com/office/drawing/2010/slicer" name="Final 15"/>
            </a:graphicData>
          </a:graphic>
        </xdr:graphicFrame>
      </mc:Choice>
      <mc:Fallback xmlns="">
        <xdr:sp macro="" textlink="">
          <xdr:nvSpPr>
            <xdr:cNvPr id="0" name=""/>
            <xdr:cNvSpPr>
              <a:spLocks noTextEdit="1"/>
            </xdr:cNvSpPr>
          </xdr:nvSpPr>
          <xdr:spPr>
            <a:xfrm>
              <a:off x="15913042" y="17971251"/>
              <a:ext cx="183125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618198</xdr:colOff>
      <xdr:row>92</xdr:row>
      <xdr:rowOff>120280</xdr:rowOff>
    </xdr:from>
    <xdr:to>
      <xdr:col>10</xdr:col>
      <xdr:colOff>686395</xdr:colOff>
      <xdr:row>105</xdr:row>
      <xdr:rowOff>167905</xdr:rowOff>
    </xdr:to>
    <mc:AlternateContent xmlns:mc="http://schemas.openxmlformats.org/markup-compatibility/2006" xmlns:sle15="http://schemas.microsoft.com/office/drawing/2012/slicer">
      <mc:Choice Requires="sle15">
        <xdr:graphicFrame macro="">
          <xdr:nvGraphicFramePr>
            <xdr:cNvPr id="14" name="Total 15">
              <a:extLst>
                <a:ext uri="{FF2B5EF4-FFF2-40B4-BE49-F238E27FC236}">
                  <a16:creationId xmlns:a16="http://schemas.microsoft.com/office/drawing/2014/main" id="{5B97F7B8-8BEE-4009-BE2B-311A5B2EFB8F}"/>
                </a:ext>
              </a:extLst>
            </xdr:cNvPr>
            <xdr:cNvGraphicFramePr/>
          </xdr:nvGraphicFramePr>
          <xdr:xfrm>
            <a:off x="0" y="0"/>
            <a:ext cx="0" cy="0"/>
          </xdr:xfrm>
          <a:graphic>
            <a:graphicData uri="http://schemas.microsoft.com/office/drawing/2010/slicer">
              <sle:slicer xmlns:sle="http://schemas.microsoft.com/office/drawing/2010/slicer" name="Total 15"/>
            </a:graphicData>
          </a:graphic>
        </xdr:graphicFrame>
      </mc:Choice>
      <mc:Fallback xmlns="">
        <xdr:sp macro="" textlink="">
          <xdr:nvSpPr>
            <xdr:cNvPr id="0" name=""/>
            <xdr:cNvSpPr>
              <a:spLocks noTextEdit="1"/>
            </xdr:cNvSpPr>
          </xdr:nvSpPr>
          <xdr:spPr>
            <a:xfrm>
              <a:off x="17740786" y="17971251"/>
              <a:ext cx="183872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687106</xdr:colOff>
      <xdr:row>92</xdr:row>
      <xdr:rowOff>120280</xdr:rowOff>
    </xdr:from>
    <xdr:to>
      <xdr:col>10</xdr:col>
      <xdr:colOff>2538662</xdr:colOff>
      <xdr:row>105</xdr:row>
      <xdr:rowOff>167905</xdr:rowOff>
    </xdr:to>
    <mc:AlternateContent xmlns:mc="http://schemas.openxmlformats.org/markup-compatibility/2006" xmlns:sle15="http://schemas.microsoft.com/office/drawing/2012/slicer">
      <mc:Choice Requires="sle15">
        <xdr:graphicFrame macro="">
          <xdr:nvGraphicFramePr>
            <xdr:cNvPr id="15" name="Grade Scale 15">
              <a:extLst>
                <a:ext uri="{FF2B5EF4-FFF2-40B4-BE49-F238E27FC236}">
                  <a16:creationId xmlns:a16="http://schemas.microsoft.com/office/drawing/2014/main" id="{2D8BFBF1-B960-49B1-9924-608FDE32ADF8}"/>
                </a:ext>
              </a:extLst>
            </xdr:cNvPr>
            <xdr:cNvGraphicFramePr/>
          </xdr:nvGraphicFramePr>
          <xdr:xfrm>
            <a:off x="0" y="0"/>
            <a:ext cx="0" cy="0"/>
          </xdr:xfrm>
          <a:graphic>
            <a:graphicData uri="http://schemas.microsoft.com/office/drawing/2010/slicer">
              <sle:slicer xmlns:sle="http://schemas.microsoft.com/office/drawing/2010/slicer" name="Grade Scale 15"/>
            </a:graphicData>
          </a:graphic>
        </xdr:graphicFrame>
      </mc:Choice>
      <mc:Fallback xmlns="">
        <xdr:sp macro="" textlink="">
          <xdr:nvSpPr>
            <xdr:cNvPr id="0" name=""/>
            <xdr:cNvSpPr>
              <a:spLocks noTextEdit="1"/>
            </xdr:cNvSpPr>
          </xdr:nvSpPr>
          <xdr:spPr>
            <a:xfrm>
              <a:off x="19580224" y="17971251"/>
              <a:ext cx="185155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2534778</xdr:colOff>
      <xdr:row>92</xdr:row>
      <xdr:rowOff>120280</xdr:rowOff>
    </xdr:from>
    <xdr:to>
      <xdr:col>12</xdr:col>
      <xdr:colOff>331108</xdr:colOff>
      <xdr:row>105</xdr:row>
      <xdr:rowOff>167905</xdr:rowOff>
    </xdr:to>
    <mc:AlternateContent xmlns:mc="http://schemas.openxmlformats.org/markup-compatibility/2006" xmlns:sle15="http://schemas.microsoft.com/office/drawing/2012/slicer">
      <mc:Choice Requires="sle15">
        <xdr:graphicFrame macro="">
          <xdr:nvGraphicFramePr>
            <xdr:cNvPr id="16" name="Grade Point 18">
              <a:extLst>
                <a:ext uri="{FF2B5EF4-FFF2-40B4-BE49-F238E27FC236}">
                  <a16:creationId xmlns:a16="http://schemas.microsoft.com/office/drawing/2014/main" id="{BC8F153B-F499-40A6-8BD0-B97B741E8BAD}"/>
                </a:ext>
              </a:extLst>
            </xdr:cNvPr>
            <xdr:cNvGraphicFramePr/>
          </xdr:nvGraphicFramePr>
          <xdr:xfrm>
            <a:off x="0" y="0"/>
            <a:ext cx="0" cy="0"/>
          </xdr:xfrm>
          <a:graphic>
            <a:graphicData uri="http://schemas.microsoft.com/office/drawing/2010/slicer">
              <sle:slicer xmlns:sle="http://schemas.microsoft.com/office/drawing/2010/slicer" name="Grade Point 18"/>
            </a:graphicData>
          </a:graphic>
        </xdr:graphicFrame>
      </mc:Choice>
      <mc:Fallback xmlns="">
        <xdr:sp macro="" textlink="">
          <xdr:nvSpPr>
            <xdr:cNvPr id="0" name=""/>
            <xdr:cNvSpPr>
              <a:spLocks noTextEdit="1"/>
            </xdr:cNvSpPr>
          </xdr:nvSpPr>
          <xdr:spPr>
            <a:xfrm>
              <a:off x="21427896" y="17971251"/>
              <a:ext cx="180803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absoluteAnchor>
    <xdr:pos x="10423685" y="27186434"/>
    <xdr:ext cx="1839006" cy="2524125"/>
    <mc:AlternateContent xmlns:mc="http://schemas.openxmlformats.org/markup-compatibility/2006" xmlns:sle15="http://schemas.microsoft.com/office/drawing/2012/slicer">
      <mc:Choice Requires="sle15">
        <xdr:graphicFrame macro="">
          <xdr:nvGraphicFramePr>
            <xdr:cNvPr id="17" name="Roll No 20">
              <a:extLst>
                <a:ext uri="{FF2B5EF4-FFF2-40B4-BE49-F238E27FC236}">
                  <a16:creationId xmlns:a16="http://schemas.microsoft.com/office/drawing/2014/main" id="{BE3DA05B-97FF-4C5A-A5F3-7D0DB7FEB027}"/>
                </a:ext>
              </a:extLst>
            </xdr:cNvPr>
            <xdr:cNvGraphicFramePr/>
          </xdr:nvGraphicFramePr>
          <xdr:xfrm>
            <a:off x="0" y="0"/>
            <a:ext cx="0" cy="0"/>
          </xdr:xfrm>
          <a:graphic>
            <a:graphicData uri="http://schemas.microsoft.com/office/drawing/2010/slicer">
              <sle:slicer xmlns:sle="http://schemas.microsoft.com/office/drawing/2010/slicer" name="Roll No 20"/>
            </a:graphicData>
          </a:graphic>
        </xdr:graphicFrame>
      </mc:Choice>
      <mc:Fallback xmlns="">
        <xdr:sp macro="" textlink="">
          <xdr:nvSpPr>
            <xdr:cNvPr id="0" name=""/>
            <xdr:cNvSpPr>
              <a:spLocks noTextEdit="1"/>
            </xdr:cNvSpPr>
          </xdr:nvSpPr>
          <xdr:spPr>
            <a:xfrm>
              <a:off x="10423685" y="27186434"/>
              <a:ext cx="183900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2263824" y="27186434"/>
    <xdr:ext cx="1841469" cy="2524125"/>
    <mc:AlternateContent xmlns:mc="http://schemas.openxmlformats.org/markup-compatibility/2006" xmlns:sle15="http://schemas.microsoft.com/office/drawing/2012/slicer">
      <mc:Choice Requires="sle15">
        <xdr:graphicFrame macro="">
          <xdr:nvGraphicFramePr>
            <xdr:cNvPr id="18" name="Round of Average 16">
              <a:extLst>
                <a:ext uri="{FF2B5EF4-FFF2-40B4-BE49-F238E27FC236}">
                  <a16:creationId xmlns:a16="http://schemas.microsoft.com/office/drawing/2014/main" id="{5D8AD61D-E02F-4998-B69B-96594801CAEF}"/>
                </a:ext>
              </a:extLst>
            </xdr:cNvPr>
            <xdr:cNvGraphicFramePr/>
          </xdr:nvGraphicFramePr>
          <xdr:xfrm>
            <a:off x="0" y="0"/>
            <a:ext cx="0" cy="0"/>
          </xdr:xfrm>
          <a:graphic>
            <a:graphicData uri="http://schemas.microsoft.com/office/drawing/2010/slicer">
              <sle:slicer xmlns:sle="http://schemas.microsoft.com/office/drawing/2010/slicer" name="Round of Average 16"/>
            </a:graphicData>
          </a:graphic>
        </xdr:graphicFrame>
      </mc:Choice>
      <mc:Fallback xmlns="">
        <xdr:sp macro="" textlink="">
          <xdr:nvSpPr>
            <xdr:cNvPr id="0" name=""/>
            <xdr:cNvSpPr>
              <a:spLocks noTextEdit="1"/>
            </xdr:cNvSpPr>
          </xdr:nvSpPr>
          <xdr:spPr>
            <a:xfrm>
              <a:off x="12263824" y="27186434"/>
              <a:ext cx="184146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4102211" y="27186434"/>
    <xdr:ext cx="1828331" cy="2524125"/>
    <mc:AlternateContent xmlns:mc="http://schemas.openxmlformats.org/markup-compatibility/2006" xmlns:sle15="http://schemas.microsoft.com/office/drawing/2012/slicer">
      <mc:Choice Requires="sle15">
        <xdr:graphicFrame macro="">
          <xdr:nvGraphicFramePr>
            <xdr:cNvPr id="19" name="Assignment 7">
              <a:extLst>
                <a:ext uri="{FF2B5EF4-FFF2-40B4-BE49-F238E27FC236}">
                  <a16:creationId xmlns:a16="http://schemas.microsoft.com/office/drawing/2014/main" id="{73B89080-0D29-4477-B82F-00F8FD3B49AF}"/>
                </a:ext>
              </a:extLst>
            </xdr:cNvPr>
            <xdr:cNvGraphicFramePr/>
          </xdr:nvGraphicFramePr>
          <xdr:xfrm>
            <a:off x="0" y="0"/>
            <a:ext cx="0" cy="0"/>
          </xdr:xfrm>
          <a:graphic>
            <a:graphicData uri="http://schemas.microsoft.com/office/drawing/2010/slicer">
              <sle:slicer xmlns:sle="http://schemas.microsoft.com/office/drawing/2010/slicer" name="Assignment 7"/>
            </a:graphicData>
          </a:graphic>
        </xdr:graphicFrame>
      </mc:Choice>
      <mc:Fallback xmlns="">
        <xdr:sp macro="" textlink="">
          <xdr:nvSpPr>
            <xdr:cNvPr id="0" name=""/>
            <xdr:cNvSpPr>
              <a:spLocks noTextEdit="1"/>
            </xdr:cNvSpPr>
          </xdr:nvSpPr>
          <xdr:spPr>
            <a:xfrm>
              <a:off x="14102211" y="27186434"/>
              <a:ext cx="182833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5929860" y="27186434"/>
    <xdr:ext cx="1836855" cy="2524125"/>
    <mc:AlternateContent xmlns:mc="http://schemas.openxmlformats.org/markup-compatibility/2006" xmlns:sle15="http://schemas.microsoft.com/office/drawing/2012/slicer">
      <mc:Choice Requires="sle15">
        <xdr:graphicFrame macro="">
          <xdr:nvGraphicFramePr>
            <xdr:cNvPr id="20" name="Final 16">
              <a:extLst>
                <a:ext uri="{FF2B5EF4-FFF2-40B4-BE49-F238E27FC236}">
                  <a16:creationId xmlns:a16="http://schemas.microsoft.com/office/drawing/2014/main" id="{7E9E7730-3D70-4D8D-8FD5-66E44F6DCB29}"/>
                </a:ext>
              </a:extLst>
            </xdr:cNvPr>
            <xdr:cNvGraphicFramePr/>
          </xdr:nvGraphicFramePr>
          <xdr:xfrm>
            <a:off x="0" y="0"/>
            <a:ext cx="0" cy="0"/>
          </xdr:xfrm>
          <a:graphic>
            <a:graphicData uri="http://schemas.microsoft.com/office/drawing/2010/slicer">
              <sle:slicer xmlns:sle="http://schemas.microsoft.com/office/drawing/2010/slicer" name="Final 16"/>
            </a:graphicData>
          </a:graphic>
        </xdr:graphicFrame>
      </mc:Choice>
      <mc:Fallback xmlns="">
        <xdr:sp macro="" textlink="">
          <xdr:nvSpPr>
            <xdr:cNvPr id="0" name=""/>
            <xdr:cNvSpPr>
              <a:spLocks noTextEdit="1"/>
            </xdr:cNvSpPr>
          </xdr:nvSpPr>
          <xdr:spPr>
            <a:xfrm>
              <a:off x="15929860" y="27186434"/>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7763208" y="27186434"/>
    <xdr:ext cx="1830322" cy="2524125"/>
    <mc:AlternateContent xmlns:mc="http://schemas.openxmlformats.org/markup-compatibility/2006" xmlns:sle15="http://schemas.microsoft.com/office/drawing/2012/slicer">
      <mc:Choice Requires="sle15">
        <xdr:graphicFrame macro="">
          <xdr:nvGraphicFramePr>
            <xdr:cNvPr id="21" name="Total 16">
              <a:extLst>
                <a:ext uri="{FF2B5EF4-FFF2-40B4-BE49-F238E27FC236}">
                  <a16:creationId xmlns:a16="http://schemas.microsoft.com/office/drawing/2014/main" id="{0F3EDB19-B796-4EE6-B40C-295EF6DFD1EA}"/>
                </a:ext>
              </a:extLst>
            </xdr:cNvPr>
            <xdr:cNvGraphicFramePr/>
          </xdr:nvGraphicFramePr>
          <xdr:xfrm>
            <a:off x="0" y="0"/>
            <a:ext cx="0" cy="0"/>
          </xdr:xfrm>
          <a:graphic>
            <a:graphicData uri="http://schemas.microsoft.com/office/drawing/2010/slicer">
              <sle:slicer xmlns:sle="http://schemas.microsoft.com/office/drawing/2010/slicer" name="Total 16"/>
            </a:graphicData>
          </a:graphic>
        </xdr:graphicFrame>
      </mc:Choice>
      <mc:Fallback xmlns="">
        <xdr:sp macro="" textlink="">
          <xdr:nvSpPr>
            <xdr:cNvPr id="0" name=""/>
            <xdr:cNvSpPr>
              <a:spLocks noTextEdit="1"/>
            </xdr:cNvSpPr>
          </xdr:nvSpPr>
          <xdr:spPr>
            <a:xfrm>
              <a:off x="17763208" y="27186434"/>
              <a:ext cx="183032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9594241" y="27186434"/>
    <xdr:ext cx="1834747" cy="2524125"/>
    <mc:AlternateContent xmlns:mc="http://schemas.openxmlformats.org/markup-compatibility/2006" xmlns:sle15="http://schemas.microsoft.com/office/drawing/2012/slicer">
      <mc:Choice Requires="sle15">
        <xdr:graphicFrame macro="">
          <xdr:nvGraphicFramePr>
            <xdr:cNvPr id="22" name="Grade Scale 16">
              <a:extLst>
                <a:ext uri="{FF2B5EF4-FFF2-40B4-BE49-F238E27FC236}">
                  <a16:creationId xmlns:a16="http://schemas.microsoft.com/office/drawing/2014/main" id="{3C566A42-388A-41E2-B4E0-75E17A12DF69}"/>
                </a:ext>
              </a:extLst>
            </xdr:cNvPr>
            <xdr:cNvGraphicFramePr/>
          </xdr:nvGraphicFramePr>
          <xdr:xfrm>
            <a:off x="0" y="0"/>
            <a:ext cx="0" cy="0"/>
          </xdr:xfrm>
          <a:graphic>
            <a:graphicData uri="http://schemas.microsoft.com/office/drawing/2010/slicer">
              <sle:slicer xmlns:sle="http://schemas.microsoft.com/office/drawing/2010/slicer" name="Grade Scale 16"/>
            </a:graphicData>
          </a:graphic>
        </xdr:graphicFrame>
      </mc:Choice>
      <mc:Fallback xmlns="">
        <xdr:sp macro="" textlink="">
          <xdr:nvSpPr>
            <xdr:cNvPr id="0" name=""/>
            <xdr:cNvSpPr>
              <a:spLocks noTextEdit="1"/>
            </xdr:cNvSpPr>
          </xdr:nvSpPr>
          <xdr:spPr>
            <a:xfrm>
              <a:off x="19594241" y="27186434"/>
              <a:ext cx="183474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1425104" y="27186434"/>
    <xdr:ext cx="1817842" cy="2524125"/>
    <mc:AlternateContent xmlns:mc="http://schemas.openxmlformats.org/markup-compatibility/2006" xmlns:sle15="http://schemas.microsoft.com/office/drawing/2012/slicer">
      <mc:Choice Requires="sle15">
        <xdr:graphicFrame macro="">
          <xdr:nvGraphicFramePr>
            <xdr:cNvPr id="23" name="Grade Point 19">
              <a:extLst>
                <a:ext uri="{FF2B5EF4-FFF2-40B4-BE49-F238E27FC236}">
                  <a16:creationId xmlns:a16="http://schemas.microsoft.com/office/drawing/2014/main" id="{3F1A3A6C-2AE4-457B-A0A2-CD03669240F3}"/>
                </a:ext>
              </a:extLst>
            </xdr:cNvPr>
            <xdr:cNvGraphicFramePr/>
          </xdr:nvGraphicFramePr>
          <xdr:xfrm>
            <a:off x="0" y="0"/>
            <a:ext cx="0" cy="0"/>
          </xdr:xfrm>
          <a:graphic>
            <a:graphicData uri="http://schemas.microsoft.com/office/drawing/2010/slicer">
              <sle:slicer xmlns:sle="http://schemas.microsoft.com/office/drawing/2010/slicer" name="Grade Point 19"/>
            </a:graphicData>
          </a:graphic>
        </xdr:graphicFrame>
      </mc:Choice>
      <mc:Fallback xmlns="">
        <xdr:sp macro="" textlink="">
          <xdr:nvSpPr>
            <xdr:cNvPr id="0" name=""/>
            <xdr:cNvSpPr>
              <a:spLocks noTextEdit="1"/>
            </xdr:cNvSpPr>
          </xdr:nvSpPr>
          <xdr:spPr>
            <a:xfrm>
              <a:off x="21425104" y="27186434"/>
              <a:ext cx="18178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0399868" y="36422591"/>
    <xdr:ext cx="1839006" cy="2524125"/>
    <mc:AlternateContent xmlns:mc="http://schemas.openxmlformats.org/markup-compatibility/2006" xmlns:sle15="http://schemas.microsoft.com/office/drawing/2012/slicer">
      <mc:Choice Requires="sle15">
        <xdr:graphicFrame macro="">
          <xdr:nvGraphicFramePr>
            <xdr:cNvPr id="24" name="Roll No 21">
              <a:extLst>
                <a:ext uri="{FF2B5EF4-FFF2-40B4-BE49-F238E27FC236}">
                  <a16:creationId xmlns:a16="http://schemas.microsoft.com/office/drawing/2014/main" id="{B312E8D5-B160-4D8C-A6B7-5790BBE1778C}"/>
                </a:ext>
              </a:extLst>
            </xdr:cNvPr>
            <xdr:cNvGraphicFramePr/>
          </xdr:nvGraphicFramePr>
          <xdr:xfrm>
            <a:off x="0" y="0"/>
            <a:ext cx="0" cy="0"/>
          </xdr:xfrm>
          <a:graphic>
            <a:graphicData uri="http://schemas.microsoft.com/office/drawing/2010/slicer">
              <sle:slicer xmlns:sle="http://schemas.microsoft.com/office/drawing/2010/slicer" name="Roll No 21"/>
            </a:graphicData>
          </a:graphic>
        </xdr:graphicFrame>
      </mc:Choice>
      <mc:Fallback xmlns="">
        <xdr:sp macro="" textlink="">
          <xdr:nvSpPr>
            <xdr:cNvPr id="0" name=""/>
            <xdr:cNvSpPr>
              <a:spLocks noTextEdit="1"/>
            </xdr:cNvSpPr>
          </xdr:nvSpPr>
          <xdr:spPr>
            <a:xfrm>
              <a:off x="10399868" y="36422591"/>
              <a:ext cx="183900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2240007" y="36422591"/>
    <xdr:ext cx="1841469" cy="2524125"/>
    <mc:AlternateContent xmlns:mc="http://schemas.openxmlformats.org/markup-compatibility/2006" xmlns:sle15="http://schemas.microsoft.com/office/drawing/2012/slicer">
      <mc:Choice Requires="sle15">
        <xdr:graphicFrame macro="">
          <xdr:nvGraphicFramePr>
            <xdr:cNvPr id="25" name="Round of Average 17">
              <a:extLst>
                <a:ext uri="{FF2B5EF4-FFF2-40B4-BE49-F238E27FC236}">
                  <a16:creationId xmlns:a16="http://schemas.microsoft.com/office/drawing/2014/main" id="{49191594-3964-4655-998A-E354A46E6900}"/>
                </a:ext>
              </a:extLst>
            </xdr:cNvPr>
            <xdr:cNvGraphicFramePr/>
          </xdr:nvGraphicFramePr>
          <xdr:xfrm>
            <a:off x="0" y="0"/>
            <a:ext cx="0" cy="0"/>
          </xdr:xfrm>
          <a:graphic>
            <a:graphicData uri="http://schemas.microsoft.com/office/drawing/2010/slicer">
              <sle:slicer xmlns:sle="http://schemas.microsoft.com/office/drawing/2010/slicer" name="Round of Average 17"/>
            </a:graphicData>
          </a:graphic>
        </xdr:graphicFrame>
      </mc:Choice>
      <mc:Fallback xmlns="">
        <xdr:sp macro="" textlink="">
          <xdr:nvSpPr>
            <xdr:cNvPr id="0" name=""/>
            <xdr:cNvSpPr>
              <a:spLocks noTextEdit="1"/>
            </xdr:cNvSpPr>
          </xdr:nvSpPr>
          <xdr:spPr>
            <a:xfrm>
              <a:off x="12240007" y="36422591"/>
              <a:ext cx="184146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4078394" y="36422591"/>
    <xdr:ext cx="1828331" cy="2524125"/>
    <mc:AlternateContent xmlns:mc="http://schemas.openxmlformats.org/markup-compatibility/2006" xmlns:sle15="http://schemas.microsoft.com/office/drawing/2012/slicer">
      <mc:Choice Requires="sle15">
        <xdr:graphicFrame macro="">
          <xdr:nvGraphicFramePr>
            <xdr:cNvPr id="26" name="Assignment 8">
              <a:extLst>
                <a:ext uri="{FF2B5EF4-FFF2-40B4-BE49-F238E27FC236}">
                  <a16:creationId xmlns:a16="http://schemas.microsoft.com/office/drawing/2014/main" id="{52D149B5-ABB7-41B2-B06A-77E2CD78408A}"/>
                </a:ext>
              </a:extLst>
            </xdr:cNvPr>
            <xdr:cNvGraphicFramePr/>
          </xdr:nvGraphicFramePr>
          <xdr:xfrm>
            <a:off x="0" y="0"/>
            <a:ext cx="0" cy="0"/>
          </xdr:xfrm>
          <a:graphic>
            <a:graphicData uri="http://schemas.microsoft.com/office/drawing/2010/slicer">
              <sle:slicer xmlns:sle="http://schemas.microsoft.com/office/drawing/2010/slicer" name="Assignment 8"/>
            </a:graphicData>
          </a:graphic>
        </xdr:graphicFrame>
      </mc:Choice>
      <mc:Fallback xmlns="">
        <xdr:sp macro="" textlink="">
          <xdr:nvSpPr>
            <xdr:cNvPr id="0" name=""/>
            <xdr:cNvSpPr>
              <a:spLocks noTextEdit="1"/>
            </xdr:cNvSpPr>
          </xdr:nvSpPr>
          <xdr:spPr>
            <a:xfrm>
              <a:off x="14078394" y="36422591"/>
              <a:ext cx="182833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5906043" y="36422591"/>
    <xdr:ext cx="1836855" cy="2524125"/>
    <mc:AlternateContent xmlns:mc="http://schemas.openxmlformats.org/markup-compatibility/2006" xmlns:sle15="http://schemas.microsoft.com/office/drawing/2012/slicer">
      <mc:Choice Requires="sle15">
        <xdr:graphicFrame macro="">
          <xdr:nvGraphicFramePr>
            <xdr:cNvPr id="27" name="Final 17">
              <a:extLst>
                <a:ext uri="{FF2B5EF4-FFF2-40B4-BE49-F238E27FC236}">
                  <a16:creationId xmlns:a16="http://schemas.microsoft.com/office/drawing/2014/main" id="{F93B9CF4-A77A-4246-BBB2-2DFF4D77D122}"/>
                </a:ext>
              </a:extLst>
            </xdr:cNvPr>
            <xdr:cNvGraphicFramePr/>
          </xdr:nvGraphicFramePr>
          <xdr:xfrm>
            <a:off x="0" y="0"/>
            <a:ext cx="0" cy="0"/>
          </xdr:xfrm>
          <a:graphic>
            <a:graphicData uri="http://schemas.microsoft.com/office/drawing/2010/slicer">
              <sle:slicer xmlns:sle="http://schemas.microsoft.com/office/drawing/2010/slicer" name="Final 17"/>
            </a:graphicData>
          </a:graphic>
        </xdr:graphicFrame>
      </mc:Choice>
      <mc:Fallback xmlns="">
        <xdr:sp macro="" textlink="">
          <xdr:nvSpPr>
            <xdr:cNvPr id="0" name=""/>
            <xdr:cNvSpPr>
              <a:spLocks noTextEdit="1"/>
            </xdr:cNvSpPr>
          </xdr:nvSpPr>
          <xdr:spPr>
            <a:xfrm>
              <a:off x="15906043" y="36422591"/>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7739391" y="36422591"/>
    <xdr:ext cx="1830322" cy="2524125"/>
    <mc:AlternateContent xmlns:mc="http://schemas.openxmlformats.org/markup-compatibility/2006" xmlns:sle15="http://schemas.microsoft.com/office/drawing/2012/slicer">
      <mc:Choice Requires="sle15">
        <xdr:graphicFrame macro="">
          <xdr:nvGraphicFramePr>
            <xdr:cNvPr id="28" name="Total 17">
              <a:extLst>
                <a:ext uri="{FF2B5EF4-FFF2-40B4-BE49-F238E27FC236}">
                  <a16:creationId xmlns:a16="http://schemas.microsoft.com/office/drawing/2014/main" id="{69ABFBA5-1D9D-4096-986D-15493FCE60AD}"/>
                </a:ext>
              </a:extLst>
            </xdr:cNvPr>
            <xdr:cNvGraphicFramePr/>
          </xdr:nvGraphicFramePr>
          <xdr:xfrm>
            <a:off x="0" y="0"/>
            <a:ext cx="0" cy="0"/>
          </xdr:xfrm>
          <a:graphic>
            <a:graphicData uri="http://schemas.microsoft.com/office/drawing/2010/slicer">
              <sle:slicer xmlns:sle="http://schemas.microsoft.com/office/drawing/2010/slicer" name="Total 17"/>
            </a:graphicData>
          </a:graphic>
        </xdr:graphicFrame>
      </mc:Choice>
      <mc:Fallback xmlns="">
        <xdr:sp macro="" textlink="">
          <xdr:nvSpPr>
            <xdr:cNvPr id="0" name=""/>
            <xdr:cNvSpPr>
              <a:spLocks noTextEdit="1"/>
            </xdr:cNvSpPr>
          </xdr:nvSpPr>
          <xdr:spPr>
            <a:xfrm>
              <a:off x="17739391" y="36422591"/>
              <a:ext cx="183032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9570424" y="36422591"/>
    <xdr:ext cx="1834747" cy="2524125"/>
    <mc:AlternateContent xmlns:mc="http://schemas.openxmlformats.org/markup-compatibility/2006" xmlns:sle15="http://schemas.microsoft.com/office/drawing/2012/slicer">
      <mc:Choice Requires="sle15">
        <xdr:graphicFrame macro="">
          <xdr:nvGraphicFramePr>
            <xdr:cNvPr id="29" name="Grade Scale 17">
              <a:extLst>
                <a:ext uri="{FF2B5EF4-FFF2-40B4-BE49-F238E27FC236}">
                  <a16:creationId xmlns:a16="http://schemas.microsoft.com/office/drawing/2014/main" id="{E5E2424D-8596-4A1D-9171-E30C45E6AFAB}"/>
                </a:ext>
              </a:extLst>
            </xdr:cNvPr>
            <xdr:cNvGraphicFramePr/>
          </xdr:nvGraphicFramePr>
          <xdr:xfrm>
            <a:off x="0" y="0"/>
            <a:ext cx="0" cy="0"/>
          </xdr:xfrm>
          <a:graphic>
            <a:graphicData uri="http://schemas.microsoft.com/office/drawing/2010/slicer">
              <sle:slicer xmlns:sle="http://schemas.microsoft.com/office/drawing/2010/slicer" name="Grade Scale 17"/>
            </a:graphicData>
          </a:graphic>
        </xdr:graphicFrame>
      </mc:Choice>
      <mc:Fallback xmlns="">
        <xdr:sp macro="" textlink="">
          <xdr:nvSpPr>
            <xdr:cNvPr id="0" name=""/>
            <xdr:cNvSpPr>
              <a:spLocks noTextEdit="1"/>
            </xdr:cNvSpPr>
          </xdr:nvSpPr>
          <xdr:spPr>
            <a:xfrm>
              <a:off x="19570424" y="36422591"/>
              <a:ext cx="183474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1401287" y="36422591"/>
    <xdr:ext cx="1817842" cy="2524125"/>
    <mc:AlternateContent xmlns:mc="http://schemas.openxmlformats.org/markup-compatibility/2006" xmlns:sle15="http://schemas.microsoft.com/office/drawing/2012/slicer">
      <mc:Choice Requires="sle15">
        <xdr:graphicFrame macro="">
          <xdr:nvGraphicFramePr>
            <xdr:cNvPr id="30" name="Grade Point 20">
              <a:extLst>
                <a:ext uri="{FF2B5EF4-FFF2-40B4-BE49-F238E27FC236}">
                  <a16:creationId xmlns:a16="http://schemas.microsoft.com/office/drawing/2014/main" id="{9A9A2639-A15A-4B82-9463-CB8845680F34}"/>
                </a:ext>
              </a:extLst>
            </xdr:cNvPr>
            <xdr:cNvGraphicFramePr/>
          </xdr:nvGraphicFramePr>
          <xdr:xfrm>
            <a:off x="0" y="0"/>
            <a:ext cx="0" cy="0"/>
          </xdr:xfrm>
          <a:graphic>
            <a:graphicData uri="http://schemas.microsoft.com/office/drawing/2010/slicer">
              <sle:slicer xmlns:sle="http://schemas.microsoft.com/office/drawing/2010/slicer" name="Grade Point 20"/>
            </a:graphicData>
          </a:graphic>
        </xdr:graphicFrame>
      </mc:Choice>
      <mc:Fallback xmlns="">
        <xdr:sp macro="" textlink="">
          <xdr:nvSpPr>
            <xdr:cNvPr id="0" name=""/>
            <xdr:cNvSpPr>
              <a:spLocks noTextEdit="1"/>
            </xdr:cNvSpPr>
          </xdr:nvSpPr>
          <xdr:spPr>
            <a:xfrm>
              <a:off x="21401287" y="36422591"/>
              <a:ext cx="18178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0376051" y="45685654"/>
    <xdr:ext cx="1839006" cy="2524125"/>
    <mc:AlternateContent xmlns:mc="http://schemas.openxmlformats.org/markup-compatibility/2006" xmlns:sle15="http://schemas.microsoft.com/office/drawing/2012/slicer">
      <mc:Choice Requires="sle15">
        <xdr:graphicFrame macro="">
          <xdr:nvGraphicFramePr>
            <xdr:cNvPr id="31" name="Roll No 22">
              <a:extLst>
                <a:ext uri="{FF2B5EF4-FFF2-40B4-BE49-F238E27FC236}">
                  <a16:creationId xmlns:a16="http://schemas.microsoft.com/office/drawing/2014/main" id="{A5F0A40A-FB74-4145-96B5-7DA9D966B02F}"/>
                </a:ext>
              </a:extLst>
            </xdr:cNvPr>
            <xdr:cNvGraphicFramePr/>
          </xdr:nvGraphicFramePr>
          <xdr:xfrm>
            <a:off x="0" y="0"/>
            <a:ext cx="0" cy="0"/>
          </xdr:xfrm>
          <a:graphic>
            <a:graphicData uri="http://schemas.microsoft.com/office/drawing/2010/slicer">
              <sle:slicer xmlns:sle="http://schemas.microsoft.com/office/drawing/2010/slicer" name="Roll No 22"/>
            </a:graphicData>
          </a:graphic>
        </xdr:graphicFrame>
      </mc:Choice>
      <mc:Fallback xmlns="">
        <xdr:sp macro="" textlink="">
          <xdr:nvSpPr>
            <xdr:cNvPr id="0" name=""/>
            <xdr:cNvSpPr>
              <a:spLocks noTextEdit="1"/>
            </xdr:cNvSpPr>
          </xdr:nvSpPr>
          <xdr:spPr>
            <a:xfrm>
              <a:off x="10376051" y="45685654"/>
              <a:ext cx="183900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2216190" y="45685654"/>
    <xdr:ext cx="1841469" cy="2524125"/>
    <mc:AlternateContent xmlns:mc="http://schemas.openxmlformats.org/markup-compatibility/2006" xmlns:sle15="http://schemas.microsoft.com/office/drawing/2012/slicer">
      <mc:Choice Requires="sle15">
        <xdr:graphicFrame macro="">
          <xdr:nvGraphicFramePr>
            <xdr:cNvPr id="32" name="Round of Average 18">
              <a:extLst>
                <a:ext uri="{FF2B5EF4-FFF2-40B4-BE49-F238E27FC236}">
                  <a16:creationId xmlns:a16="http://schemas.microsoft.com/office/drawing/2014/main" id="{069CFB3E-14FD-496D-B067-18BA18E636B9}"/>
                </a:ext>
              </a:extLst>
            </xdr:cNvPr>
            <xdr:cNvGraphicFramePr/>
          </xdr:nvGraphicFramePr>
          <xdr:xfrm>
            <a:off x="0" y="0"/>
            <a:ext cx="0" cy="0"/>
          </xdr:xfrm>
          <a:graphic>
            <a:graphicData uri="http://schemas.microsoft.com/office/drawing/2010/slicer">
              <sle:slicer xmlns:sle="http://schemas.microsoft.com/office/drawing/2010/slicer" name="Round of Average 18"/>
            </a:graphicData>
          </a:graphic>
        </xdr:graphicFrame>
      </mc:Choice>
      <mc:Fallback xmlns="">
        <xdr:sp macro="" textlink="">
          <xdr:nvSpPr>
            <xdr:cNvPr id="0" name=""/>
            <xdr:cNvSpPr>
              <a:spLocks noTextEdit="1"/>
            </xdr:cNvSpPr>
          </xdr:nvSpPr>
          <xdr:spPr>
            <a:xfrm>
              <a:off x="12216190" y="45685654"/>
              <a:ext cx="184146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4054577" y="45685654"/>
    <xdr:ext cx="1828331" cy="2524125"/>
    <mc:AlternateContent xmlns:mc="http://schemas.openxmlformats.org/markup-compatibility/2006" xmlns:sle15="http://schemas.microsoft.com/office/drawing/2012/slicer">
      <mc:Choice Requires="sle15">
        <xdr:graphicFrame macro="">
          <xdr:nvGraphicFramePr>
            <xdr:cNvPr id="33" name="Assignment 9">
              <a:extLst>
                <a:ext uri="{FF2B5EF4-FFF2-40B4-BE49-F238E27FC236}">
                  <a16:creationId xmlns:a16="http://schemas.microsoft.com/office/drawing/2014/main" id="{E65950CB-D241-43B0-95D5-D47D49C9B2DC}"/>
                </a:ext>
              </a:extLst>
            </xdr:cNvPr>
            <xdr:cNvGraphicFramePr/>
          </xdr:nvGraphicFramePr>
          <xdr:xfrm>
            <a:off x="0" y="0"/>
            <a:ext cx="0" cy="0"/>
          </xdr:xfrm>
          <a:graphic>
            <a:graphicData uri="http://schemas.microsoft.com/office/drawing/2010/slicer">
              <sle:slicer xmlns:sle="http://schemas.microsoft.com/office/drawing/2010/slicer" name="Assignment 9"/>
            </a:graphicData>
          </a:graphic>
        </xdr:graphicFrame>
      </mc:Choice>
      <mc:Fallback xmlns="">
        <xdr:sp macro="" textlink="">
          <xdr:nvSpPr>
            <xdr:cNvPr id="0" name=""/>
            <xdr:cNvSpPr>
              <a:spLocks noTextEdit="1"/>
            </xdr:cNvSpPr>
          </xdr:nvSpPr>
          <xdr:spPr>
            <a:xfrm>
              <a:off x="14054577" y="45685654"/>
              <a:ext cx="182833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5882226" y="45685654"/>
    <xdr:ext cx="1836855" cy="2524125"/>
    <mc:AlternateContent xmlns:mc="http://schemas.openxmlformats.org/markup-compatibility/2006" xmlns:sle15="http://schemas.microsoft.com/office/drawing/2012/slicer">
      <mc:Choice Requires="sle15">
        <xdr:graphicFrame macro="">
          <xdr:nvGraphicFramePr>
            <xdr:cNvPr id="34" name="Final 18">
              <a:extLst>
                <a:ext uri="{FF2B5EF4-FFF2-40B4-BE49-F238E27FC236}">
                  <a16:creationId xmlns:a16="http://schemas.microsoft.com/office/drawing/2014/main" id="{07E34215-8383-4731-8E2E-F10EE5D8A1EB}"/>
                </a:ext>
              </a:extLst>
            </xdr:cNvPr>
            <xdr:cNvGraphicFramePr/>
          </xdr:nvGraphicFramePr>
          <xdr:xfrm>
            <a:off x="0" y="0"/>
            <a:ext cx="0" cy="0"/>
          </xdr:xfrm>
          <a:graphic>
            <a:graphicData uri="http://schemas.microsoft.com/office/drawing/2010/slicer">
              <sle:slicer xmlns:sle="http://schemas.microsoft.com/office/drawing/2010/slicer" name="Final 18"/>
            </a:graphicData>
          </a:graphic>
        </xdr:graphicFrame>
      </mc:Choice>
      <mc:Fallback xmlns="">
        <xdr:sp macro="" textlink="">
          <xdr:nvSpPr>
            <xdr:cNvPr id="0" name=""/>
            <xdr:cNvSpPr>
              <a:spLocks noTextEdit="1"/>
            </xdr:cNvSpPr>
          </xdr:nvSpPr>
          <xdr:spPr>
            <a:xfrm>
              <a:off x="15882226" y="45685654"/>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7715574" y="45685654"/>
    <xdr:ext cx="1830322" cy="2524125"/>
    <mc:AlternateContent xmlns:mc="http://schemas.openxmlformats.org/markup-compatibility/2006" xmlns:sle15="http://schemas.microsoft.com/office/drawing/2012/slicer">
      <mc:Choice Requires="sle15">
        <xdr:graphicFrame macro="">
          <xdr:nvGraphicFramePr>
            <xdr:cNvPr id="35" name="Total 18">
              <a:extLst>
                <a:ext uri="{FF2B5EF4-FFF2-40B4-BE49-F238E27FC236}">
                  <a16:creationId xmlns:a16="http://schemas.microsoft.com/office/drawing/2014/main" id="{EB8AC102-41B0-4717-B939-80F11D4A7C2F}"/>
                </a:ext>
              </a:extLst>
            </xdr:cNvPr>
            <xdr:cNvGraphicFramePr/>
          </xdr:nvGraphicFramePr>
          <xdr:xfrm>
            <a:off x="0" y="0"/>
            <a:ext cx="0" cy="0"/>
          </xdr:xfrm>
          <a:graphic>
            <a:graphicData uri="http://schemas.microsoft.com/office/drawing/2010/slicer">
              <sle:slicer xmlns:sle="http://schemas.microsoft.com/office/drawing/2010/slicer" name="Total 18"/>
            </a:graphicData>
          </a:graphic>
        </xdr:graphicFrame>
      </mc:Choice>
      <mc:Fallback xmlns="">
        <xdr:sp macro="" textlink="">
          <xdr:nvSpPr>
            <xdr:cNvPr id="0" name=""/>
            <xdr:cNvSpPr>
              <a:spLocks noTextEdit="1"/>
            </xdr:cNvSpPr>
          </xdr:nvSpPr>
          <xdr:spPr>
            <a:xfrm>
              <a:off x="17715574" y="45685654"/>
              <a:ext cx="183032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9546607" y="45685654"/>
    <xdr:ext cx="1834747" cy="2524125"/>
    <mc:AlternateContent xmlns:mc="http://schemas.openxmlformats.org/markup-compatibility/2006" xmlns:sle15="http://schemas.microsoft.com/office/drawing/2012/slicer">
      <mc:Choice Requires="sle15">
        <xdr:graphicFrame macro="">
          <xdr:nvGraphicFramePr>
            <xdr:cNvPr id="36" name="Grade Scale 18">
              <a:extLst>
                <a:ext uri="{FF2B5EF4-FFF2-40B4-BE49-F238E27FC236}">
                  <a16:creationId xmlns:a16="http://schemas.microsoft.com/office/drawing/2014/main" id="{7463B5B6-1225-430B-854A-A1DFDD81861C}"/>
                </a:ext>
              </a:extLst>
            </xdr:cNvPr>
            <xdr:cNvGraphicFramePr/>
          </xdr:nvGraphicFramePr>
          <xdr:xfrm>
            <a:off x="0" y="0"/>
            <a:ext cx="0" cy="0"/>
          </xdr:xfrm>
          <a:graphic>
            <a:graphicData uri="http://schemas.microsoft.com/office/drawing/2010/slicer">
              <sle:slicer xmlns:sle="http://schemas.microsoft.com/office/drawing/2010/slicer" name="Grade Scale 18"/>
            </a:graphicData>
          </a:graphic>
        </xdr:graphicFrame>
      </mc:Choice>
      <mc:Fallback xmlns="">
        <xdr:sp macro="" textlink="">
          <xdr:nvSpPr>
            <xdr:cNvPr id="0" name=""/>
            <xdr:cNvSpPr>
              <a:spLocks noTextEdit="1"/>
            </xdr:cNvSpPr>
          </xdr:nvSpPr>
          <xdr:spPr>
            <a:xfrm>
              <a:off x="19546607" y="45685654"/>
              <a:ext cx="183474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1377470" y="45685654"/>
    <xdr:ext cx="1817842" cy="2524125"/>
    <mc:AlternateContent xmlns:mc="http://schemas.openxmlformats.org/markup-compatibility/2006" xmlns:sle15="http://schemas.microsoft.com/office/drawing/2012/slicer">
      <mc:Choice Requires="sle15">
        <xdr:graphicFrame macro="">
          <xdr:nvGraphicFramePr>
            <xdr:cNvPr id="37" name="Grade Point 21">
              <a:extLst>
                <a:ext uri="{FF2B5EF4-FFF2-40B4-BE49-F238E27FC236}">
                  <a16:creationId xmlns:a16="http://schemas.microsoft.com/office/drawing/2014/main" id="{951025A5-8CB1-4055-8FC5-B9F4042C0AEF}"/>
                </a:ext>
              </a:extLst>
            </xdr:cNvPr>
            <xdr:cNvGraphicFramePr/>
          </xdr:nvGraphicFramePr>
          <xdr:xfrm>
            <a:off x="0" y="0"/>
            <a:ext cx="0" cy="0"/>
          </xdr:xfrm>
          <a:graphic>
            <a:graphicData uri="http://schemas.microsoft.com/office/drawing/2010/slicer">
              <sle:slicer xmlns:sle="http://schemas.microsoft.com/office/drawing/2010/slicer" name="Grade Point 21"/>
            </a:graphicData>
          </a:graphic>
        </xdr:graphicFrame>
      </mc:Choice>
      <mc:Fallback xmlns="">
        <xdr:sp macro="" textlink="">
          <xdr:nvSpPr>
            <xdr:cNvPr id="0" name=""/>
            <xdr:cNvSpPr>
              <a:spLocks noTextEdit="1"/>
            </xdr:cNvSpPr>
          </xdr:nvSpPr>
          <xdr:spPr>
            <a:xfrm>
              <a:off x="21377470" y="45685654"/>
              <a:ext cx="18178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twoCellAnchor editAs="absolute">
    <xdr:from>
      <xdr:col>9</xdr:col>
      <xdr:colOff>1207204</xdr:colOff>
      <xdr:row>0</xdr:row>
      <xdr:rowOff>110092</xdr:rowOff>
    </xdr:from>
    <xdr:to>
      <xdr:col>10</xdr:col>
      <xdr:colOff>1264075</xdr:colOff>
      <xdr:row>11</xdr:row>
      <xdr:rowOff>190499</xdr:rowOff>
    </xdr:to>
    <mc:AlternateContent xmlns:mc="http://schemas.openxmlformats.org/markup-compatibility/2006" xmlns:sle15="http://schemas.microsoft.com/office/drawing/2012/slicer">
      <mc:Choice Requires="sle15">
        <xdr:graphicFrame macro="">
          <xdr:nvGraphicFramePr>
            <xdr:cNvPr id="38" name="Total Subject CGPA 3">
              <a:extLst>
                <a:ext uri="{FF2B5EF4-FFF2-40B4-BE49-F238E27FC236}">
                  <a16:creationId xmlns:a16="http://schemas.microsoft.com/office/drawing/2014/main" id="{10817D53-8EDB-4166-B66D-4D0FF111A1C5}"/>
                </a:ext>
              </a:extLst>
            </xdr:cNvPr>
            <xdr:cNvGraphicFramePr/>
          </xdr:nvGraphicFramePr>
          <xdr:xfrm>
            <a:off x="0" y="0"/>
            <a:ext cx="0" cy="0"/>
          </xdr:xfrm>
          <a:graphic>
            <a:graphicData uri="http://schemas.microsoft.com/office/drawing/2010/slicer">
              <sle:slicer xmlns:sle="http://schemas.microsoft.com/office/drawing/2010/slicer" name="Total Subject CGPA 3"/>
            </a:graphicData>
          </a:graphic>
        </xdr:graphicFrame>
      </mc:Choice>
      <mc:Fallback xmlns="">
        <xdr:sp macro="" textlink="">
          <xdr:nvSpPr>
            <xdr:cNvPr id="0" name=""/>
            <xdr:cNvSpPr>
              <a:spLocks noTextEdit="1"/>
            </xdr:cNvSpPr>
          </xdr:nvSpPr>
          <xdr:spPr>
            <a:xfrm>
              <a:off x="18329792" y="110092"/>
              <a:ext cx="1827401" cy="2175907"/>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4</xdr:col>
      <xdr:colOff>3211221</xdr:colOff>
      <xdr:row>280</xdr:row>
      <xdr:rowOff>142009</xdr:rowOff>
    </xdr:from>
    <xdr:to>
      <xdr:col>6</xdr:col>
      <xdr:colOff>385760</xdr:colOff>
      <xdr:row>293</xdr:row>
      <xdr:rowOff>189634</xdr:rowOff>
    </xdr:to>
    <mc:AlternateContent xmlns:mc="http://schemas.openxmlformats.org/markup-compatibility/2006" xmlns:sle15="http://schemas.microsoft.com/office/drawing/2012/slicer">
      <mc:Choice Requires="sle15">
        <xdr:graphicFrame macro="">
          <xdr:nvGraphicFramePr>
            <xdr:cNvPr id="39" name="Roll No 28">
              <a:extLst>
                <a:ext uri="{FF2B5EF4-FFF2-40B4-BE49-F238E27FC236}">
                  <a16:creationId xmlns:a16="http://schemas.microsoft.com/office/drawing/2014/main" id="{B95F835E-A793-46D2-AE46-6F489805BAF9}"/>
                </a:ext>
              </a:extLst>
            </xdr:cNvPr>
            <xdr:cNvGraphicFramePr/>
          </xdr:nvGraphicFramePr>
          <xdr:xfrm>
            <a:off x="0" y="0"/>
            <a:ext cx="0" cy="0"/>
          </xdr:xfrm>
          <a:graphic>
            <a:graphicData uri="http://schemas.microsoft.com/office/drawing/2010/slicer">
              <sle:slicer xmlns:sle="http://schemas.microsoft.com/office/drawing/2010/slicer" name="Roll No 28"/>
            </a:graphicData>
          </a:graphic>
        </xdr:graphicFrame>
      </mc:Choice>
      <mc:Fallback xmlns="">
        <xdr:sp macro="" textlink="">
          <xdr:nvSpPr>
            <xdr:cNvPr id="0" name=""/>
            <xdr:cNvSpPr>
              <a:spLocks noTextEdit="1"/>
            </xdr:cNvSpPr>
          </xdr:nvSpPr>
          <xdr:spPr>
            <a:xfrm>
              <a:off x="10439015" y="55106862"/>
              <a:ext cx="182498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391818</xdr:colOff>
      <xdr:row>280</xdr:row>
      <xdr:rowOff>142009</xdr:rowOff>
    </xdr:from>
    <xdr:to>
      <xdr:col>7</xdr:col>
      <xdr:colOff>742945</xdr:colOff>
      <xdr:row>293</xdr:row>
      <xdr:rowOff>189634</xdr:rowOff>
    </xdr:to>
    <mc:AlternateContent xmlns:mc="http://schemas.openxmlformats.org/markup-compatibility/2006" xmlns:sle15="http://schemas.microsoft.com/office/drawing/2012/slicer">
      <mc:Choice Requires="sle15">
        <xdr:graphicFrame macro="">
          <xdr:nvGraphicFramePr>
            <xdr:cNvPr id="40" name="Round of Average 22">
              <a:extLst>
                <a:ext uri="{FF2B5EF4-FFF2-40B4-BE49-F238E27FC236}">
                  <a16:creationId xmlns:a16="http://schemas.microsoft.com/office/drawing/2014/main" id="{3DB5D1A3-99E6-4D66-BF24-3878BACF2EE2}"/>
                </a:ext>
              </a:extLst>
            </xdr:cNvPr>
            <xdr:cNvGraphicFramePr/>
          </xdr:nvGraphicFramePr>
          <xdr:xfrm>
            <a:off x="0" y="0"/>
            <a:ext cx="0" cy="0"/>
          </xdr:xfrm>
          <a:graphic>
            <a:graphicData uri="http://schemas.microsoft.com/office/drawing/2010/slicer">
              <sle:slicer xmlns:sle="http://schemas.microsoft.com/office/drawing/2010/slicer" name="Round of Average 22"/>
            </a:graphicData>
          </a:graphic>
        </xdr:graphicFrame>
      </mc:Choice>
      <mc:Fallback xmlns="">
        <xdr:sp macro="" textlink="">
          <xdr:nvSpPr>
            <xdr:cNvPr id="0" name=""/>
            <xdr:cNvSpPr>
              <a:spLocks noTextEdit="1"/>
            </xdr:cNvSpPr>
          </xdr:nvSpPr>
          <xdr:spPr>
            <a:xfrm>
              <a:off x="12270053" y="55106862"/>
              <a:ext cx="181909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725195</xdr:colOff>
      <xdr:row>280</xdr:row>
      <xdr:rowOff>142009</xdr:rowOff>
    </xdr:from>
    <xdr:to>
      <xdr:col>8</xdr:col>
      <xdr:colOff>151965</xdr:colOff>
      <xdr:row>293</xdr:row>
      <xdr:rowOff>189634</xdr:rowOff>
    </xdr:to>
    <mc:AlternateContent xmlns:mc="http://schemas.openxmlformats.org/markup-compatibility/2006" xmlns:sle15="http://schemas.microsoft.com/office/drawing/2012/slicer">
      <mc:Choice Requires="sle15">
        <xdr:graphicFrame macro="">
          <xdr:nvGraphicFramePr>
            <xdr:cNvPr id="41" name="Midterm 9">
              <a:extLst>
                <a:ext uri="{FF2B5EF4-FFF2-40B4-BE49-F238E27FC236}">
                  <a16:creationId xmlns:a16="http://schemas.microsoft.com/office/drawing/2014/main" id="{67BAD157-2262-40C9-875B-985817431E15}"/>
                </a:ext>
              </a:extLst>
            </xdr:cNvPr>
            <xdr:cNvGraphicFramePr/>
          </xdr:nvGraphicFramePr>
          <xdr:xfrm>
            <a:off x="0" y="0"/>
            <a:ext cx="0" cy="0"/>
          </xdr:xfrm>
          <a:graphic>
            <a:graphicData uri="http://schemas.microsoft.com/office/drawing/2010/slicer">
              <sle:slicer xmlns:sle="http://schemas.microsoft.com/office/drawing/2010/slicer" name="Midterm 9"/>
            </a:graphicData>
          </a:graphic>
        </xdr:graphicFrame>
      </mc:Choice>
      <mc:Fallback xmlns="">
        <xdr:sp macro="" textlink="">
          <xdr:nvSpPr>
            <xdr:cNvPr id="0" name=""/>
            <xdr:cNvSpPr>
              <a:spLocks noTextEdit="1"/>
            </xdr:cNvSpPr>
          </xdr:nvSpPr>
          <xdr:spPr>
            <a:xfrm>
              <a:off x="14071401" y="55106862"/>
              <a:ext cx="183603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8</xdr:col>
      <xdr:colOff>128585</xdr:colOff>
      <xdr:row>280</xdr:row>
      <xdr:rowOff>142009</xdr:rowOff>
    </xdr:from>
    <xdr:to>
      <xdr:col>9</xdr:col>
      <xdr:colOff>580590</xdr:colOff>
      <xdr:row>293</xdr:row>
      <xdr:rowOff>189634</xdr:rowOff>
    </xdr:to>
    <mc:AlternateContent xmlns:mc="http://schemas.openxmlformats.org/markup-compatibility/2006" xmlns:sle15="http://schemas.microsoft.com/office/drawing/2012/slicer">
      <mc:Choice Requires="sle15">
        <xdr:graphicFrame macro="">
          <xdr:nvGraphicFramePr>
            <xdr:cNvPr id="42" name="Final 22">
              <a:extLst>
                <a:ext uri="{FF2B5EF4-FFF2-40B4-BE49-F238E27FC236}">
                  <a16:creationId xmlns:a16="http://schemas.microsoft.com/office/drawing/2014/main" id="{48A3C111-0A49-490A-99B0-18596263AA2F}"/>
                </a:ext>
              </a:extLst>
            </xdr:cNvPr>
            <xdr:cNvGraphicFramePr/>
          </xdr:nvGraphicFramePr>
          <xdr:xfrm>
            <a:off x="0" y="0"/>
            <a:ext cx="0" cy="0"/>
          </xdr:xfrm>
          <a:graphic>
            <a:graphicData uri="http://schemas.microsoft.com/office/drawing/2010/slicer">
              <sle:slicer xmlns:sle="http://schemas.microsoft.com/office/drawing/2010/slicer" name="Final 22"/>
            </a:graphicData>
          </a:graphic>
        </xdr:graphicFrame>
      </mc:Choice>
      <mc:Fallback xmlns="">
        <xdr:sp macro="" textlink="">
          <xdr:nvSpPr>
            <xdr:cNvPr id="0" name=""/>
            <xdr:cNvSpPr>
              <a:spLocks noTextEdit="1"/>
            </xdr:cNvSpPr>
          </xdr:nvSpPr>
          <xdr:spPr>
            <a:xfrm>
              <a:off x="15884056" y="55106862"/>
              <a:ext cx="181912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557208</xdr:colOff>
      <xdr:row>280</xdr:row>
      <xdr:rowOff>142009</xdr:rowOff>
    </xdr:from>
    <xdr:to>
      <xdr:col>10</xdr:col>
      <xdr:colOff>628213</xdr:colOff>
      <xdr:row>293</xdr:row>
      <xdr:rowOff>189634</xdr:rowOff>
    </xdr:to>
    <mc:AlternateContent xmlns:mc="http://schemas.openxmlformats.org/markup-compatibility/2006" xmlns:sle15="http://schemas.microsoft.com/office/drawing/2012/slicer">
      <mc:Choice Requires="sle15">
        <xdr:graphicFrame macro="">
          <xdr:nvGraphicFramePr>
            <xdr:cNvPr id="43" name="Total 22">
              <a:extLst>
                <a:ext uri="{FF2B5EF4-FFF2-40B4-BE49-F238E27FC236}">
                  <a16:creationId xmlns:a16="http://schemas.microsoft.com/office/drawing/2014/main" id="{6253A1B2-5465-40C7-BB14-1CE51372C6C3}"/>
                </a:ext>
              </a:extLst>
            </xdr:cNvPr>
            <xdr:cNvGraphicFramePr/>
          </xdr:nvGraphicFramePr>
          <xdr:xfrm>
            <a:off x="0" y="0"/>
            <a:ext cx="0" cy="0"/>
          </xdr:xfrm>
          <a:graphic>
            <a:graphicData uri="http://schemas.microsoft.com/office/drawing/2010/slicer">
              <sle:slicer xmlns:sle="http://schemas.microsoft.com/office/drawing/2010/slicer" name="Total 22"/>
            </a:graphicData>
          </a:graphic>
        </xdr:graphicFrame>
      </mc:Choice>
      <mc:Fallback xmlns="">
        <xdr:sp macro="" textlink="">
          <xdr:nvSpPr>
            <xdr:cNvPr id="0" name=""/>
            <xdr:cNvSpPr>
              <a:spLocks noTextEdit="1"/>
            </xdr:cNvSpPr>
          </xdr:nvSpPr>
          <xdr:spPr>
            <a:xfrm>
              <a:off x="17679796" y="55106862"/>
              <a:ext cx="184153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604830</xdr:colOff>
      <xdr:row>280</xdr:row>
      <xdr:rowOff>142009</xdr:rowOff>
    </xdr:from>
    <xdr:to>
      <xdr:col>10</xdr:col>
      <xdr:colOff>2437960</xdr:colOff>
      <xdr:row>293</xdr:row>
      <xdr:rowOff>189634</xdr:rowOff>
    </xdr:to>
    <mc:AlternateContent xmlns:mc="http://schemas.openxmlformats.org/markup-compatibility/2006" xmlns:sle15="http://schemas.microsoft.com/office/drawing/2012/slicer">
      <mc:Choice Requires="sle15">
        <xdr:graphicFrame macro="">
          <xdr:nvGraphicFramePr>
            <xdr:cNvPr id="44" name="Grade Scale 22">
              <a:extLst>
                <a:ext uri="{FF2B5EF4-FFF2-40B4-BE49-F238E27FC236}">
                  <a16:creationId xmlns:a16="http://schemas.microsoft.com/office/drawing/2014/main" id="{5F356980-6EAB-44D7-9367-2D2BFE6ABD9A}"/>
                </a:ext>
              </a:extLst>
            </xdr:cNvPr>
            <xdr:cNvGraphicFramePr/>
          </xdr:nvGraphicFramePr>
          <xdr:xfrm>
            <a:off x="0" y="0"/>
            <a:ext cx="0" cy="0"/>
          </xdr:xfrm>
          <a:graphic>
            <a:graphicData uri="http://schemas.microsoft.com/office/drawing/2010/slicer">
              <sle:slicer xmlns:sle="http://schemas.microsoft.com/office/drawing/2010/slicer" name="Grade Scale 22"/>
            </a:graphicData>
          </a:graphic>
        </xdr:graphicFrame>
      </mc:Choice>
      <mc:Fallback xmlns="">
        <xdr:sp macro="" textlink="">
          <xdr:nvSpPr>
            <xdr:cNvPr id="0" name=""/>
            <xdr:cNvSpPr>
              <a:spLocks noTextEdit="1"/>
            </xdr:cNvSpPr>
          </xdr:nvSpPr>
          <xdr:spPr>
            <a:xfrm>
              <a:off x="19497948" y="55106862"/>
              <a:ext cx="183313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2418912</xdr:colOff>
      <xdr:row>280</xdr:row>
      <xdr:rowOff>142009</xdr:rowOff>
    </xdr:from>
    <xdr:to>
      <xdr:col>12</xdr:col>
      <xdr:colOff>223399</xdr:colOff>
      <xdr:row>293</xdr:row>
      <xdr:rowOff>189634</xdr:rowOff>
    </xdr:to>
    <mc:AlternateContent xmlns:mc="http://schemas.openxmlformats.org/markup-compatibility/2006" xmlns:sle15="http://schemas.microsoft.com/office/drawing/2012/slicer">
      <mc:Choice Requires="sle15">
        <xdr:graphicFrame macro="">
          <xdr:nvGraphicFramePr>
            <xdr:cNvPr id="45" name="Grade Point">
              <a:extLst>
                <a:ext uri="{FF2B5EF4-FFF2-40B4-BE49-F238E27FC236}">
                  <a16:creationId xmlns:a16="http://schemas.microsoft.com/office/drawing/2014/main" id="{A9F2C70F-05B5-4AD1-9BFD-5D1A79984FCD}"/>
                </a:ext>
              </a:extLst>
            </xdr:cNvPr>
            <xdr:cNvGraphicFramePr/>
          </xdr:nvGraphicFramePr>
          <xdr:xfrm>
            <a:off x="0" y="0"/>
            <a:ext cx="0" cy="0"/>
          </xdr:xfrm>
          <a:graphic>
            <a:graphicData uri="http://schemas.microsoft.com/office/drawing/2010/slicer">
              <sle:slicer xmlns:sle="http://schemas.microsoft.com/office/drawing/2010/slicer" name="Grade Point"/>
            </a:graphicData>
          </a:graphic>
        </xdr:graphicFrame>
      </mc:Choice>
      <mc:Fallback xmlns="">
        <xdr:sp macro="" textlink="">
          <xdr:nvSpPr>
            <xdr:cNvPr id="0" name=""/>
            <xdr:cNvSpPr>
              <a:spLocks noTextEdit="1"/>
            </xdr:cNvSpPr>
          </xdr:nvSpPr>
          <xdr:spPr>
            <a:xfrm>
              <a:off x="21312030" y="55106862"/>
              <a:ext cx="1816193"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absolute">
    <xdr:from>
      <xdr:col>7</xdr:col>
      <xdr:colOff>20052</xdr:colOff>
      <xdr:row>0</xdr:row>
      <xdr:rowOff>110092</xdr:rowOff>
    </xdr:from>
    <xdr:to>
      <xdr:col>7</xdr:col>
      <xdr:colOff>1833838</xdr:colOff>
      <xdr:row>12</xdr:row>
      <xdr:rowOff>6804</xdr:rowOff>
    </xdr:to>
    <mc:AlternateContent xmlns:mc="http://schemas.openxmlformats.org/markup-compatibility/2006" xmlns:sle15="http://schemas.microsoft.com/office/drawing/2012/slicer">
      <mc:Choice Requires="sle15">
        <xdr:graphicFrame macro="">
          <xdr:nvGraphicFramePr>
            <xdr:cNvPr id="2" name="Roll No 23">
              <a:extLst>
                <a:ext uri="{FF2B5EF4-FFF2-40B4-BE49-F238E27FC236}">
                  <a16:creationId xmlns:a16="http://schemas.microsoft.com/office/drawing/2014/main" id="{4649BF1B-81DF-489E-93FA-751AB5FD8E48}"/>
                </a:ext>
              </a:extLst>
            </xdr:cNvPr>
            <xdr:cNvGraphicFramePr/>
          </xdr:nvGraphicFramePr>
          <xdr:xfrm>
            <a:off x="0" y="0"/>
            <a:ext cx="0" cy="0"/>
          </xdr:xfrm>
          <a:graphic>
            <a:graphicData uri="http://schemas.microsoft.com/office/drawing/2010/slicer">
              <sle:slicer xmlns:sle="http://schemas.microsoft.com/office/drawing/2010/slicer" name="Roll No 23"/>
            </a:graphicData>
          </a:graphic>
        </xdr:graphicFrame>
      </mc:Choice>
      <mc:Fallback xmlns="">
        <xdr:sp macro="" textlink="">
          <xdr:nvSpPr>
            <xdr:cNvPr id="0" name=""/>
            <xdr:cNvSpPr>
              <a:spLocks noTextEdit="1"/>
            </xdr:cNvSpPr>
          </xdr:nvSpPr>
          <xdr:spPr>
            <a:xfrm>
              <a:off x="11763817" y="110092"/>
              <a:ext cx="1813786" cy="2182712"/>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264803</xdr:colOff>
      <xdr:row>45</xdr:row>
      <xdr:rowOff>144614</xdr:rowOff>
    </xdr:from>
    <xdr:to>
      <xdr:col>6</xdr:col>
      <xdr:colOff>124698</xdr:colOff>
      <xdr:row>59</xdr:row>
      <xdr:rowOff>1739</xdr:rowOff>
    </xdr:to>
    <mc:AlternateContent xmlns:mc="http://schemas.openxmlformats.org/markup-compatibility/2006" xmlns:sle15="http://schemas.microsoft.com/office/drawing/2012/slicer">
      <mc:Choice Requires="sle15">
        <xdr:graphicFrame macro="">
          <xdr:nvGraphicFramePr>
            <xdr:cNvPr id="3" name="Roll No 24">
              <a:extLst>
                <a:ext uri="{FF2B5EF4-FFF2-40B4-BE49-F238E27FC236}">
                  <a16:creationId xmlns:a16="http://schemas.microsoft.com/office/drawing/2014/main" id="{30426D8A-2EEF-4B03-9EAC-D24D1F69F590}"/>
                </a:ext>
              </a:extLst>
            </xdr:cNvPr>
            <xdr:cNvGraphicFramePr/>
          </xdr:nvGraphicFramePr>
          <xdr:xfrm>
            <a:off x="0" y="0"/>
            <a:ext cx="0" cy="0"/>
          </xdr:xfrm>
          <a:graphic>
            <a:graphicData uri="http://schemas.microsoft.com/office/drawing/2010/slicer">
              <sle:slicer xmlns:sle="http://schemas.microsoft.com/office/drawing/2010/slicer" name="Roll No 24"/>
            </a:graphicData>
          </a:graphic>
        </xdr:graphicFrame>
      </mc:Choice>
      <mc:Fallback xmlns="">
        <xdr:sp macro="" textlink="">
          <xdr:nvSpPr>
            <xdr:cNvPr id="0" name=""/>
            <xdr:cNvSpPr>
              <a:spLocks noTextEdit="1"/>
            </xdr:cNvSpPr>
          </xdr:nvSpPr>
          <xdr:spPr>
            <a:xfrm>
              <a:off x="7638274" y="8717114"/>
              <a:ext cx="184333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106559</xdr:colOff>
      <xdr:row>45</xdr:row>
      <xdr:rowOff>144614</xdr:rowOff>
    </xdr:from>
    <xdr:to>
      <xdr:col>6</xdr:col>
      <xdr:colOff>1935513</xdr:colOff>
      <xdr:row>59</xdr:row>
      <xdr:rowOff>1739</xdr:rowOff>
    </xdr:to>
    <mc:AlternateContent xmlns:mc="http://schemas.openxmlformats.org/markup-compatibility/2006" xmlns:sle15="http://schemas.microsoft.com/office/drawing/2012/slicer">
      <mc:Choice Requires="sle15">
        <xdr:graphicFrame macro="">
          <xdr:nvGraphicFramePr>
            <xdr:cNvPr id="4" name="Round of Average 6">
              <a:extLst>
                <a:ext uri="{FF2B5EF4-FFF2-40B4-BE49-F238E27FC236}">
                  <a16:creationId xmlns:a16="http://schemas.microsoft.com/office/drawing/2014/main" id="{F0346BEB-2931-4290-946E-79D3F6D9C514}"/>
                </a:ext>
              </a:extLst>
            </xdr:cNvPr>
            <xdr:cNvGraphicFramePr/>
          </xdr:nvGraphicFramePr>
          <xdr:xfrm>
            <a:off x="0" y="0"/>
            <a:ext cx="0" cy="0"/>
          </xdr:xfrm>
          <a:graphic>
            <a:graphicData uri="http://schemas.microsoft.com/office/drawing/2010/slicer">
              <sle:slicer xmlns:sle="http://schemas.microsoft.com/office/drawing/2010/slicer" name="Round of Average 6"/>
            </a:graphicData>
          </a:graphic>
        </xdr:graphicFrame>
      </mc:Choice>
      <mc:Fallback xmlns="">
        <xdr:sp macro="" textlink="">
          <xdr:nvSpPr>
            <xdr:cNvPr id="0" name=""/>
            <xdr:cNvSpPr>
              <a:spLocks noTextEdit="1"/>
            </xdr:cNvSpPr>
          </xdr:nvSpPr>
          <xdr:spPr>
            <a:xfrm>
              <a:off x="9463471" y="8717114"/>
              <a:ext cx="1828954"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1935960</xdr:colOff>
      <xdr:row>45</xdr:row>
      <xdr:rowOff>144614</xdr:rowOff>
    </xdr:from>
    <xdr:to>
      <xdr:col>7</xdr:col>
      <xdr:colOff>1384335</xdr:colOff>
      <xdr:row>59</xdr:row>
      <xdr:rowOff>1739</xdr:rowOff>
    </xdr:to>
    <mc:AlternateContent xmlns:mc="http://schemas.openxmlformats.org/markup-compatibility/2006" xmlns:sle15="http://schemas.microsoft.com/office/drawing/2012/slicer">
      <mc:Choice Requires="sle15">
        <xdr:graphicFrame macro="">
          <xdr:nvGraphicFramePr>
            <xdr:cNvPr id="5" name="Midterm 5">
              <a:extLst>
                <a:ext uri="{FF2B5EF4-FFF2-40B4-BE49-F238E27FC236}">
                  <a16:creationId xmlns:a16="http://schemas.microsoft.com/office/drawing/2014/main" id="{331E7728-E6E6-466E-A1C7-659F1C3B38DF}"/>
                </a:ext>
              </a:extLst>
            </xdr:cNvPr>
            <xdr:cNvGraphicFramePr/>
          </xdr:nvGraphicFramePr>
          <xdr:xfrm>
            <a:off x="0" y="0"/>
            <a:ext cx="0" cy="0"/>
          </xdr:xfrm>
          <a:graphic>
            <a:graphicData uri="http://schemas.microsoft.com/office/drawing/2010/slicer">
              <sle:slicer xmlns:sle="http://schemas.microsoft.com/office/drawing/2010/slicer" name="Midterm 5"/>
            </a:graphicData>
          </a:graphic>
        </xdr:graphicFrame>
      </mc:Choice>
      <mc:Fallback xmlns="">
        <xdr:sp macro="" textlink="">
          <xdr:nvSpPr>
            <xdr:cNvPr id="0" name=""/>
            <xdr:cNvSpPr>
              <a:spLocks noTextEdit="1"/>
            </xdr:cNvSpPr>
          </xdr:nvSpPr>
          <xdr:spPr>
            <a:xfrm>
              <a:off x="11292872" y="8717114"/>
              <a:ext cx="183522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1374239</xdr:colOff>
      <xdr:row>45</xdr:row>
      <xdr:rowOff>144614</xdr:rowOff>
    </xdr:from>
    <xdr:to>
      <xdr:col>7</xdr:col>
      <xdr:colOff>3208250</xdr:colOff>
      <xdr:row>59</xdr:row>
      <xdr:rowOff>1739</xdr:rowOff>
    </xdr:to>
    <mc:AlternateContent xmlns:mc="http://schemas.openxmlformats.org/markup-compatibility/2006" xmlns:sle15="http://schemas.microsoft.com/office/drawing/2012/slicer">
      <mc:Choice Requires="sle15">
        <xdr:graphicFrame macro="">
          <xdr:nvGraphicFramePr>
            <xdr:cNvPr id="6" name="Final 6">
              <a:extLst>
                <a:ext uri="{FF2B5EF4-FFF2-40B4-BE49-F238E27FC236}">
                  <a16:creationId xmlns:a16="http://schemas.microsoft.com/office/drawing/2014/main" id="{B08B8C6A-FD40-48BF-8453-05B2FB33A81F}"/>
                </a:ext>
              </a:extLst>
            </xdr:cNvPr>
            <xdr:cNvGraphicFramePr/>
          </xdr:nvGraphicFramePr>
          <xdr:xfrm>
            <a:off x="0" y="0"/>
            <a:ext cx="0" cy="0"/>
          </xdr:xfrm>
          <a:graphic>
            <a:graphicData uri="http://schemas.microsoft.com/office/drawing/2010/slicer">
              <sle:slicer xmlns:sle="http://schemas.microsoft.com/office/drawing/2010/slicer" name="Final 6"/>
            </a:graphicData>
          </a:graphic>
        </xdr:graphicFrame>
      </mc:Choice>
      <mc:Fallback xmlns="">
        <xdr:sp macro="" textlink="">
          <xdr:nvSpPr>
            <xdr:cNvPr id="0" name=""/>
            <xdr:cNvSpPr>
              <a:spLocks noTextEdit="1"/>
            </xdr:cNvSpPr>
          </xdr:nvSpPr>
          <xdr:spPr>
            <a:xfrm>
              <a:off x="13118004" y="8717114"/>
              <a:ext cx="183401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3206528</xdr:colOff>
      <xdr:row>45</xdr:row>
      <xdr:rowOff>144614</xdr:rowOff>
    </xdr:from>
    <xdr:to>
      <xdr:col>9</xdr:col>
      <xdr:colOff>564880</xdr:colOff>
      <xdr:row>59</xdr:row>
      <xdr:rowOff>1739</xdr:rowOff>
    </xdr:to>
    <mc:AlternateContent xmlns:mc="http://schemas.openxmlformats.org/markup-compatibility/2006" xmlns:sle15="http://schemas.microsoft.com/office/drawing/2012/slicer">
      <mc:Choice Requires="sle15">
        <xdr:graphicFrame macro="">
          <xdr:nvGraphicFramePr>
            <xdr:cNvPr id="7" name="Total 6">
              <a:extLst>
                <a:ext uri="{FF2B5EF4-FFF2-40B4-BE49-F238E27FC236}">
                  <a16:creationId xmlns:a16="http://schemas.microsoft.com/office/drawing/2014/main" id="{AD8113B8-2135-4B7E-A14E-C99E8893FE6E}"/>
                </a:ext>
              </a:extLst>
            </xdr:cNvPr>
            <xdr:cNvGraphicFramePr/>
          </xdr:nvGraphicFramePr>
          <xdr:xfrm>
            <a:off x="0" y="0"/>
            <a:ext cx="0" cy="0"/>
          </xdr:xfrm>
          <a:graphic>
            <a:graphicData uri="http://schemas.microsoft.com/office/drawing/2010/slicer">
              <sle:slicer xmlns:sle="http://schemas.microsoft.com/office/drawing/2010/slicer" name="Total 6"/>
            </a:graphicData>
          </a:graphic>
        </xdr:graphicFrame>
      </mc:Choice>
      <mc:Fallback xmlns="">
        <xdr:sp macro="" textlink="">
          <xdr:nvSpPr>
            <xdr:cNvPr id="0" name=""/>
            <xdr:cNvSpPr>
              <a:spLocks noTextEdit="1"/>
            </xdr:cNvSpPr>
          </xdr:nvSpPr>
          <xdr:spPr>
            <a:xfrm>
              <a:off x="14950293" y="8717114"/>
              <a:ext cx="1818293"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566176</xdr:colOff>
      <xdr:row>45</xdr:row>
      <xdr:rowOff>144614</xdr:rowOff>
    </xdr:from>
    <xdr:to>
      <xdr:col>10</xdr:col>
      <xdr:colOff>1201633</xdr:colOff>
      <xdr:row>59</xdr:row>
      <xdr:rowOff>1739</xdr:rowOff>
    </xdr:to>
    <mc:AlternateContent xmlns:mc="http://schemas.openxmlformats.org/markup-compatibility/2006" xmlns:sle15="http://schemas.microsoft.com/office/drawing/2012/slicer">
      <mc:Choice Requires="sle15">
        <xdr:graphicFrame macro="">
          <xdr:nvGraphicFramePr>
            <xdr:cNvPr id="8" name="Grade Scale 6">
              <a:extLst>
                <a:ext uri="{FF2B5EF4-FFF2-40B4-BE49-F238E27FC236}">
                  <a16:creationId xmlns:a16="http://schemas.microsoft.com/office/drawing/2014/main" id="{F306704B-6CBB-4790-8098-B1536D7A0F5E}"/>
                </a:ext>
              </a:extLst>
            </xdr:cNvPr>
            <xdr:cNvGraphicFramePr/>
          </xdr:nvGraphicFramePr>
          <xdr:xfrm>
            <a:off x="0" y="0"/>
            <a:ext cx="0" cy="0"/>
          </xdr:xfrm>
          <a:graphic>
            <a:graphicData uri="http://schemas.microsoft.com/office/drawing/2010/slicer">
              <sle:slicer xmlns:sle="http://schemas.microsoft.com/office/drawing/2010/slicer" name="Grade Scale 6"/>
            </a:graphicData>
          </a:graphic>
        </xdr:graphicFrame>
      </mc:Choice>
      <mc:Fallback xmlns="">
        <xdr:sp macro="" textlink="">
          <xdr:nvSpPr>
            <xdr:cNvPr id="0" name=""/>
            <xdr:cNvSpPr>
              <a:spLocks noTextEdit="1"/>
            </xdr:cNvSpPr>
          </xdr:nvSpPr>
          <xdr:spPr>
            <a:xfrm>
              <a:off x="16769882" y="8717114"/>
              <a:ext cx="184569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1190236</xdr:colOff>
      <xdr:row>45</xdr:row>
      <xdr:rowOff>144614</xdr:rowOff>
    </xdr:from>
    <xdr:to>
      <xdr:col>11</xdr:col>
      <xdr:colOff>876398</xdr:colOff>
      <xdr:row>59</xdr:row>
      <xdr:rowOff>1739</xdr:rowOff>
    </xdr:to>
    <mc:AlternateContent xmlns:mc="http://schemas.openxmlformats.org/markup-compatibility/2006" xmlns:sle15="http://schemas.microsoft.com/office/drawing/2012/slicer">
      <mc:Choice Requires="sle15">
        <xdr:graphicFrame macro="">
          <xdr:nvGraphicFramePr>
            <xdr:cNvPr id="9" name="Grade Point 22">
              <a:extLst>
                <a:ext uri="{FF2B5EF4-FFF2-40B4-BE49-F238E27FC236}">
                  <a16:creationId xmlns:a16="http://schemas.microsoft.com/office/drawing/2014/main" id="{6182685D-DEDF-498D-B21F-8AF4F7B3B1BB}"/>
                </a:ext>
              </a:extLst>
            </xdr:cNvPr>
            <xdr:cNvGraphicFramePr/>
          </xdr:nvGraphicFramePr>
          <xdr:xfrm>
            <a:off x="0" y="0"/>
            <a:ext cx="0" cy="0"/>
          </xdr:xfrm>
          <a:graphic>
            <a:graphicData uri="http://schemas.microsoft.com/office/drawing/2010/slicer">
              <sle:slicer xmlns:sle="http://schemas.microsoft.com/office/drawing/2010/slicer" name="Grade Point 22"/>
            </a:graphicData>
          </a:graphic>
        </xdr:graphicFrame>
      </mc:Choice>
      <mc:Fallback xmlns="">
        <xdr:sp macro="" textlink="">
          <xdr:nvSpPr>
            <xdr:cNvPr id="0" name=""/>
            <xdr:cNvSpPr>
              <a:spLocks noTextEdit="1"/>
            </xdr:cNvSpPr>
          </xdr:nvSpPr>
          <xdr:spPr>
            <a:xfrm>
              <a:off x="18604177" y="8717114"/>
              <a:ext cx="183769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5</xdr:col>
      <xdr:colOff>304768</xdr:colOff>
      <xdr:row>92</xdr:row>
      <xdr:rowOff>144092</xdr:rowOff>
    </xdr:from>
    <xdr:to>
      <xdr:col>6</xdr:col>
      <xdr:colOff>161732</xdr:colOff>
      <xdr:row>106</xdr:row>
      <xdr:rowOff>1217</xdr:rowOff>
    </xdr:to>
    <mc:AlternateContent xmlns:mc="http://schemas.openxmlformats.org/markup-compatibility/2006" xmlns:sle15="http://schemas.microsoft.com/office/drawing/2012/slicer">
      <mc:Choice Requires="sle15">
        <xdr:graphicFrame macro="">
          <xdr:nvGraphicFramePr>
            <xdr:cNvPr id="10" name="Roll No 25">
              <a:extLst>
                <a:ext uri="{FF2B5EF4-FFF2-40B4-BE49-F238E27FC236}">
                  <a16:creationId xmlns:a16="http://schemas.microsoft.com/office/drawing/2014/main" id="{B9154A7C-960D-437C-9CEA-1DEF7BD835CD}"/>
                </a:ext>
              </a:extLst>
            </xdr:cNvPr>
            <xdr:cNvGraphicFramePr/>
          </xdr:nvGraphicFramePr>
          <xdr:xfrm>
            <a:off x="0" y="0"/>
            <a:ext cx="0" cy="0"/>
          </xdr:xfrm>
          <a:graphic>
            <a:graphicData uri="http://schemas.microsoft.com/office/drawing/2010/slicer">
              <sle:slicer xmlns:sle="http://schemas.microsoft.com/office/drawing/2010/slicer" name="Roll No 25"/>
            </a:graphicData>
          </a:graphic>
        </xdr:graphicFrame>
      </mc:Choice>
      <mc:Fallback xmlns="">
        <xdr:sp macro="" textlink="">
          <xdr:nvSpPr>
            <xdr:cNvPr id="0" name=""/>
            <xdr:cNvSpPr>
              <a:spLocks noTextEdit="1"/>
            </xdr:cNvSpPr>
          </xdr:nvSpPr>
          <xdr:spPr>
            <a:xfrm>
              <a:off x="7678239" y="17995063"/>
              <a:ext cx="184040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162865</xdr:colOff>
      <xdr:row>92</xdr:row>
      <xdr:rowOff>144092</xdr:rowOff>
    </xdr:from>
    <xdr:to>
      <xdr:col>6</xdr:col>
      <xdr:colOff>1986125</xdr:colOff>
      <xdr:row>106</xdr:row>
      <xdr:rowOff>1217</xdr:rowOff>
    </xdr:to>
    <mc:AlternateContent xmlns:mc="http://schemas.openxmlformats.org/markup-compatibility/2006" xmlns:sle15="http://schemas.microsoft.com/office/drawing/2012/slicer">
      <mc:Choice Requires="sle15">
        <xdr:graphicFrame macro="">
          <xdr:nvGraphicFramePr>
            <xdr:cNvPr id="11" name="Round of Average 19">
              <a:extLst>
                <a:ext uri="{FF2B5EF4-FFF2-40B4-BE49-F238E27FC236}">
                  <a16:creationId xmlns:a16="http://schemas.microsoft.com/office/drawing/2014/main" id="{A40F630A-5AC2-47B0-A9D1-A81EACEB66E8}"/>
                </a:ext>
              </a:extLst>
            </xdr:cNvPr>
            <xdr:cNvGraphicFramePr/>
          </xdr:nvGraphicFramePr>
          <xdr:xfrm>
            <a:off x="0" y="0"/>
            <a:ext cx="0" cy="0"/>
          </xdr:xfrm>
          <a:graphic>
            <a:graphicData uri="http://schemas.microsoft.com/office/drawing/2010/slicer">
              <sle:slicer xmlns:sle="http://schemas.microsoft.com/office/drawing/2010/slicer" name="Round of Average 19"/>
            </a:graphicData>
          </a:graphic>
        </xdr:graphicFrame>
      </mc:Choice>
      <mc:Fallback xmlns="">
        <xdr:sp macro="" textlink="">
          <xdr:nvSpPr>
            <xdr:cNvPr id="0" name=""/>
            <xdr:cNvSpPr>
              <a:spLocks noTextEdit="1"/>
            </xdr:cNvSpPr>
          </xdr:nvSpPr>
          <xdr:spPr>
            <a:xfrm>
              <a:off x="9519777" y="17995063"/>
              <a:ext cx="182326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6</xdr:col>
      <xdr:colOff>1983043</xdr:colOff>
      <xdr:row>92</xdr:row>
      <xdr:rowOff>144092</xdr:rowOff>
    </xdr:from>
    <xdr:to>
      <xdr:col>7</xdr:col>
      <xdr:colOff>1435727</xdr:colOff>
      <xdr:row>106</xdr:row>
      <xdr:rowOff>1217</xdr:rowOff>
    </xdr:to>
    <mc:AlternateContent xmlns:mc="http://schemas.openxmlformats.org/markup-compatibility/2006" xmlns:sle15="http://schemas.microsoft.com/office/drawing/2012/slicer">
      <mc:Choice Requires="sle15">
        <xdr:graphicFrame macro="">
          <xdr:nvGraphicFramePr>
            <xdr:cNvPr id="12" name="Assignment 10">
              <a:extLst>
                <a:ext uri="{FF2B5EF4-FFF2-40B4-BE49-F238E27FC236}">
                  <a16:creationId xmlns:a16="http://schemas.microsoft.com/office/drawing/2014/main" id="{C56469BE-2782-4F62-A390-6B85B7EEBF41}"/>
                </a:ext>
              </a:extLst>
            </xdr:cNvPr>
            <xdr:cNvGraphicFramePr/>
          </xdr:nvGraphicFramePr>
          <xdr:xfrm>
            <a:off x="0" y="0"/>
            <a:ext cx="0" cy="0"/>
          </xdr:xfrm>
          <a:graphic>
            <a:graphicData uri="http://schemas.microsoft.com/office/drawing/2010/slicer">
              <sle:slicer xmlns:sle="http://schemas.microsoft.com/office/drawing/2010/slicer" name="Assignment 10"/>
            </a:graphicData>
          </a:graphic>
        </xdr:graphicFrame>
      </mc:Choice>
      <mc:Fallback xmlns="">
        <xdr:sp macro="" textlink="">
          <xdr:nvSpPr>
            <xdr:cNvPr id="0" name=""/>
            <xdr:cNvSpPr>
              <a:spLocks noTextEdit="1"/>
            </xdr:cNvSpPr>
          </xdr:nvSpPr>
          <xdr:spPr>
            <a:xfrm>
              <a:off x="11339955" y="17995063"/>
              <a:ext cx="183953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1435045</xdr:colOff>
      <xdr:row>92</xdr:row>
      <xdr:rowOff>144092</xdr:rowOff>
    </xdr:from>
    <xdr:to>
      <xdr:col>7</xdr:col>
      <xdr:colOff>3271900</xdr:colOff>
      <xdr:row>106</xdr:row>
      <xdr:rowOff>1217</xdr:rowOff>
    </xdr:to>
    <mc:AlternateContent xmlns:mc="http://schemas.openxmlformats.org/markup-compatibility/2006" xmlns:sle15="http://schemas.microsoft.com/office/drawing/2012/slicer">
      <mc:Choice Requires="sle15">
        <xdr:graphicFrame macro="">
          <xdr:nvGraphicFramePr>
            <xdr:cNvPr id="13" name="Final 19">
              <a:extLst>
                <a:ext uri="{FF2B5EF4-FFF2-40B4-BE49-F238E27FC236}">
                  <a16:creationId xmlns:a16="http://schemas.microsoft.com/office/drawing/2014/main" id="{F50D2735-3159-4810-886C-1DA9D4A66086}"/>
                </a:ext>
              </a:extLst>
            </xdr:cNvPr>
            <xdr:cNvGraphicFramePr/>
          </xdr:nvGraphicFramePr>
          <xdr:xfrm>
            <a:off x="0" y="0"/>
            <a:ext cx="0" cy="0"/>
          </xdr:xfrm>
          <a:graphic>
            <a:graphicData uri="http://schemas.microsoft.com/office/drawing/2010/slicer">
              <sle:slicer xmlns:sle="http://schemas.microsoft.com/office/drawing/2010/slicer" name="Final 19"/>
            </a:graphicData>
          </a:graphic>
        </xdr:graphicFrame>
      </mc:Choice>
      <mc:Fallback xmlns="">
        <xdr:sp macro="" textlink="">
          <xdr:nvSpPr>
            <xdr:cNvPr id="0" name=""/>
            <xdr:cNvSpPr>
              <a:spLocks noTextEdit="1"/>
            </xdr:cNvSpPr>
          </xdr:nvSpPr>
          <xdr:spPr>
            <a:xfrm>
              <a:off x="13178810" y="17995063"/>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7</xdr:col>
      <xdr:colOff>3268393</xdr:colOff>
      <xdr:row>92</xdr:row>
      <xdr:rowOff>144092</xdr:rowOff>
    </xdr:from>
    <xdr:to>
      <xdr:col>9</xdr:col>
      <xdr:colOff>631771</xdr:colOff>
      <xdr:row>106</xdr:row>
      <xdr:rowOff>1217</xdr:rowOff>
    </xdr:to>
    <mc:AlternateContent xmlns:mc="http://schemas.openxmlformats.org/markup-compatibility/2006" xmlns:sle15="http://schemas.microsoft.com/office/drawing/2012/slicer">
      <mc:Choice Requires="sle15">
        <xdr:graphicFrame macro="">
          <xdr:nvGraphicFramePr>
            <xdr:cNvPr id="14" name="Total 19">
              <a:extLst>
                <a:ext uri="{FF2B5EF4-FFF2-40B4-BE49-F238E27FC236}">
                  <a16:creationId xmlns:a16="http://schemas.microsoft.com/office/drawing/2014/main" id="{53AC5875-56C6-416C-8CC6-F80F5DAC2A30}"/>
                </a:ext>
              </a:extLst>
            </xdr:cNvPr>
            <xdr:cNvGraphicFramePr/>
          </xdr:nvGraphicFramePr>
          <xdr:xfrm>
            <a:off x="0" y="0"/>
            <a:ext cx="0" cy="0"/>
          </xdr:xfrm>
          <a:graphic>
            <a:graphicData uri="http://schemas.microsoft.com/office/drawing/2010/slicer">
              <sle:slicer xmlns:sle="http://schemas.microsoft.com/office/drawing/2010/slicer" name="Total 19"/>
            </a:graphicData>
          </a:graphic>
        </xdr:graphicFrame>
      </mc:Choice>
      <mc:Fallback xmlns="">
        <xdr:sp macro="" textlink="">
          <xdr:nvSpPr>
            <xdr:cNvPr id="0" name=""/>
            <xdr:cNvSpPr>
              <a:spLocks noTextEdit="1"/>
            </xdr:cNvSpPr>
          </xdr:nvSpPr>
          <xdr:spPr>
            <a:xfrm>
              <a:off x="15012158" y="17995063"/>
              <a:ext cx="182331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9</xdr:col>
      <xdr:colOff>632482</xdr:colOff>
      <xdr:row>92</xdr:row>
      <xdr:rowOff>144092</xdr:rowOff>
    </xdr:from>
    <xdr:to>
      <xdr:col>10</xdr:col>
      <xdr:colOff>1271001</xdr:colOff>
      <xdr:row>106</xdr:row>
      <xdr:rowOff>1217</xdr:rowOff>
    </xdr:to>
    <mc:AlternateContent xmlns:mc="http://schemas.openxmlformats.org/markup-compatibility/2006" xmlns:sle15="http://schemas.microsoft.com/office/drawing/2012/slicer">
      <mc:Choice Requires="sle15">
        <xdr:graphicFrame macro="">
          <xdr:nvGraphicFramePr>
            <xdr:cNvPr id="15" name="Grade Scale 19">
              <a:extLst>
                <a:ext uri="{FF2B5EF4-FFF2-40B4-BE49-F238E27FC236}">
                  <a16:creationId xmlns:a16="http://schemas.microsoft.com/office/drawing/2014/main" id="{F6E51A62-9616-4F3B-98C6-A7181664B62B}"/>
                </a:ext>
              </a:extLst>
            </xdr:cNvPr>
            <xdr:cNvGraphicFramePr/>
          </xdr:nvGraphicFramePr>
          <xdr:xfrm>
            <a:off x="0" y="0"/>
            <a:ext cx="0" cy="0"/>
          </xdr:xfrm>
          <a:graphic>
            <a:graphicData uri="http://schemas.microsoft.com/office/drawing/2010/slicer">
              <sle:slicer xmlns:sle="http://schemas.microsoft.com/office/drawing/2010/slicer" name="Grade Scale 19"/>
            </a:graphicData>
          </a:graphic>
        </xdr:graphicFrame>
      </mc:Choice>
      <mc:Fallback xmlns="">
        <xdr:sp macro="" textlink="">
          <xdr:nvSpPr>
            <xdr:cNvPr id="0" name=""/>
            <xdr:cNvSpPr>
              <a:spLocks noTextEdit="1"/>
            </xdr:cNvSpPr>
          </xdr:nvSpPr>
          <xdr:spPr>
            <a:xfrm>
              <a:off x="16836188" y="17995063"/>
              <a:ext cx="1848754"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1267117</xdr:colOff>
      <xdr:row>92</xdr:row>
      <xdr:rowOff>144092</xdr:rowOff>
    </xdr:from>
    <xdr:to>
      <xdr:col>11</xdr:col>
      <xdr:colOff>944635</xdr:colOff>
      <xdr:row>106</xdr:row>
      <xdr:rowOff>1217</xdr:rowOff>
    </xdr:to>
    <mc:AlternateContent xmlns:mc="http://schemas.openxmlformats.org/markup-compatibility/2006" xmlns:sle15="http://schemas.microsoft.com/office/drawing/2012/slicer">
      <mc:Choice Requires="sle15">
        <xdr:graphicFrame macro="">
          <xdr:nvGraphicFramePr>
            <xdr:cNvPr id="16" name="Grade Point 23">
              <a:extLst>
                <a:ext uri="{FF2B5EF4-FFF2-40B4-BE49-F238E27FC236}">
                  <a16:creationId xmlns:a16="http://schemas.microsoft.com/office/drawing/2014/main" id="{8B5ED69F-2BBF-4D84-9242-D0E74D92BA8F}"/>
                </a:ext>
              </a:extLst>
            </xdr:cNvPr>
            <xdr:cNvGraphicFramePr/>
          </xdr:nvGraphicFramePr>
          <xdr:xfrm>
            <a:off x="0" y="0"/>
            <a:ext cx="0" cy="0"/>
          </xdr:xfrm>
          <a:graphic>
            <a:graphicData uri="http://schemas.microsoft.com/office/drawing/2010/slicer">
              <sle:slicer xmlns:sle="http://schemas.microsoft.com/office/drawing/2010/slicer" name="Grade Point 23"/>
            </a:graphicData>
          </a:graphic>
        </xdr:graphicFrame>
      </mc:Choice>
      <mc:Fallback xmlns="">
        <xdr:sp macro="" textlink="">
          <xdr:nvSpPr>
            <xdr:cNvPr id="0" name=""/>
            <xdr:cNvSpPr>
              <a:spLocks noTextEdit="1"/>
            </xdr:cNvSpPr>
          </xdr:nvSpPr>
          <xdr:spPr>
            <a:xfrm>
              <a:off x="18681058" y="17995063"/>
              <a:ext cx="182904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absoluteAnchor>
    <xdr:pos x="7685250" y="27210246"/>
    <xdr:ext cx="1839006" cy="2524125"/>
    <mc:AlternateContent xmlns:mc="http://schemas.openxmlformats.org/markup-compatibility/2006" xmlns:sle15="http://schemas.microsoft.com/office/drawing/2012/slicer">
      <mc:Choice Requires="sle15">
        <xdr:graphicFrame macro="">
          <xdr:nvGraphicFramePr>
            <xdr:cNvPr id="17" name="Roll No 26">
              <a:extLst>
                <a:ext uri="{FF2B5EF4-FFF2-40B4-BE49-F238E27FC236}">
                  <a16:creationId xmlns:a16="http://schemas.microsoft.com/office/drawing/2014/main" id="{506758E2-C37C-41DF-ABD3-9C2389AC4E12}"/>
                </a:ext>
              </a:extLst>
            </xdr:cNvPr>
            <xdr:cNvGraphicFramePr/>
          </xdr:nvGraphicFramePr>
          <xdr:xfrm>
            <a:off x="0" y="0"/>
            <a:ext cx="0" cy="0"/>
          </xdr:xfrm>
          <a:graphic>
            <a:graphicData uri="http://schemas.microsoft.com/office/drawing/2010/slicer">
              <sle:slicer xmlns:sle="http://schemas.microsoft.com/office/drawing/2010/slicer" name="Roll No 26"/>
            </a:graphicData>
          </a:graphic>
        </xdr:graphicFrame>
      </mc:Choice>
      <mc:Fallback xmlns="">
        <xdr:sp macro="" textlink="">
          <xdr:nvSpPr>
            <xdr:cNvPr id="0" name=""/>
            <xdr:cNvSpPr>
              <a:spLocks noTextEdit="1"/>
            </xdr:cNvSpPr>
          </xdr:nvSpPr>
          <xdr:spPr>
            <a:xfrm>
              <a:off x="7685250" y="27210246"/>
              <a:ext cx="183900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9525389" y="27210246"/>
    <xdr:ext cx="1841469" cy="2524125"/>
    <mc:AlternateContent xmlns:mc="http://schemas.openxmlformats.org/markup-compatibility/2006" xmlns:sle15="http://schemas.microsoft.com/office/drawing/2012/slicer">
      <mc:Choice Requires="sle15">
        <xdr:graphicFrame macro="">
          <xdr:nvGraphicFramePr>
            <xdr:cNvPr id="18" name="Round of Average 20">
              <a:extLst>
                <a:ext uri="{FF2B5EF4-FFF2-40B4-BE49-F238E27FC236}">
                  <a16:creationId xmlns:a16="http://schemas.microsoft.com/office/drawing/2014/main" id="{C7FD42B4-4319-4F4A-855F-B134EAC0EBDA}"/>
                </a:ext>
              </a:extLst>
            </xdr:cNvPr>
            <xdr:cNvGraphicFramePr/>
          </xdr:nvGraphicFramePr>
          <xdr:xfrm>
            <a:off x="0" y="0"/>
            <a:ext cx="0" cy="0"/>
          </xdr:xfrm>
          <a:graphic>
            <a:graphicData uri="http://schemas.microsoft.com/office/drawing/2010/slicer">
              <sle:slicer xmlns:sle="http://schemas.microsoft.com/office/drawing/2010/slicer" name="Round of Average 20"/>
            </a:graphicData>
          </a:graphic>
        </xdr:graphicFrame>
      </mc:Choice>
      <mc:Fallback xmlns="">
        <xdr:sp macro="" textlink="">
          <xdr:nvSpPr>
            <xdr:cNvPr id="0" name=""/>
            <xdr:cNvSpPr>
              <a:spLocks noTextEdit="1"/>
            </xdr:cNvSpPr>
          </xdr:nvSpPr>
          <xdr:spPr>
            <a:xfrm>
              <a:off x="9525389" y="27210246"/>
              <a:ext cx="184146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1363776" y="27210246"/>
    <xdr:ext cx="1828331" cy="2524125"/>
    <mc:AlternateContent xmlns:mc="http://schemas.openxmlformats.org/markup-compatibility/2006" xmlns:sle15="http://schemas.microsoft.com/office/drawing/2012/slicer">
      <mc:Choice Requires="sle15">
        <xdr:graphicFrame macro="">
          <xdr:nvGraphicFramePr>
            <xdr:cNvPr id="19" name="Assignment 11">
              <a:extLst>
                <a:ext uri="{FF2B5EF4-FFF2-40B4-BE49-F238E27FC236}">
                  <a16:creationId xmlns:a16="http://schemas.microsoft.com/office/drawing/2014/main" id="{6B1354E4-8016-4490-92DE-1DE3C74BD757}"/>
                </a:ext>
              </a:extLst>
            </xdr:cNvPr>
            <xdr:cNvGraphicFramePr/>
          </xdr:nvGraphicFramePr>
          <xdr:xfrm>
            <a:off x="0" y="0"/>
            <a:ext cx="0" cy="0"/>
          </xdr:xfrm>
          <a:graphic>
            <a:graphicData uri="http://schemas.microsoft.com/office/drawing/2010/slicer">
              <sle:slicer xmlns:sle="http://schemas.microsoft.com/office/drawing/2010/slicer" name="Assignment 11"/>
            </a:graphicData>
          </a:graphic>
        </xdr:graphicFrame>
      </mc:Choice>
      <mc:Fallback xmlns="">
        <xdr:sp macro="" textlink="">
          <xdr:nvSpPr>
            <xdr:cNvPr id="0" name=""/>
            <xdr:cNvSpPr>
              <a:spLocks noTextEdit="1"/>
            </xdr:cNvSpPr>
          </xdr:nvSpPr>
          <xdr:spPr>
            <a:xfrm>
              <a:off x="11363776" y="27210246"/>
              <a:ext cx="182833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3191425" y="27210246"/>
    <xdr:ext cx="1836855" cy="2524125"/>
    <mc:AlternateContent xmlns:mc="http://schemas.openxmlformats.org/markup-compatibility/2006" xmlns:sle15="http://schemas.microsoft.com/office/drawing/2012/slicer">
      <mc:Choice Requires="sle15">
        <xdr:graphicFrame macro="">
          <xdr:nvGraphicFramePr>
            <xdr:cNvPr id="20" name="Final 20">
              <a:extLst>
                <a:ext uri="{FF2B5EF4-FFF2-40B4-BE49-F238E27FC236}">
                  <a16:creationId xmlns:a16="http://schemas.microsoft.com/office/drawing/2014/main" id="{2C43DA72-6CB9-4283-BB8D-456F268146CB}"/>
                </a:ext>
              </a:extLst>
            </xdr:cNvPr>
            <xdr:cNvGraphicFramePr/>
          </xdr:nvGraphicFramePr>
          <xdr:xfrm>
            <a:off x="0" y="0"/>
            <a:ext cx="0" cy="0"/>
          </xdr:xfrm>
          <a:graphic>
            <a:graphicData uri="http://schemas.microsoft.com/office/drawing/2010/slicer">
              <sle:slicer xmlns:sle="http://schemas.microsoft.com/office/drawing/2010/slicer" name="Final 20"/>
            </a:graphicData>
          </a:graphic>
        </xdr:graphicFrame>
      </mc:Choice>
      <mc:Fallback xmlns="">
        <xdr:sp macro="" textlink="">
          <xdr:nvSpPr>
            <xdr:cNvPr id="0" name=""/>
            <xdr:cNvSpPr>
              <a:spLocks noTextEdit="1"/>
            </xdr:cNvSpPr>
          </xdr:nvSpPr>
          <xdr:spPr>
            <a:xfrm>
              <a:off x="13191425" y="27210246"/>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5024773" y="27210246"/>
    <xdr:ext cx="1830322" cy="2524125"/>
    <mc:AlternateContent xmlns:mc="http://schemas.openxmlformats.org/markup-compatibility/2006" xmlns:sle15="http://schemas.microsoft.com/office/drawing/2012/slicer">
      <mc:Choice Requires="sle15">
        <xdr:graphicFrame macro="">
          <xdr:nvGraphicFramePr>
            <xdr:cNvPr id="21" name="Total 20">
              <a:extLst>
                <a:ext uri="{FF2B5EF4-FFF2-40B4-BE49-F238E27FC236}">
                  <a16:creationId xmlns:a16="http://schemas.microsoft.com/office/drawing/2014/main" id="{7995ED2E-146D-4A70-BF7E-64C98DB9E61C}"/>
                </a:ext>
              </a:extLst>
            </xdr:cNvPr>
            <xdr:cNvGraphicFramePr/>
          </xdr:nvGraphicFramePr>
          <xdr:xfrm>
            <a:off x="0" y="0"/>
            <a:ext cx="0" cy="0"/>
          </xdr:xfrm>
          <a:graphic>
            <a:graphicData uri="http://schemas.microsoft.com/office/drawing/2010/slicer">
              <sle:slicer xmlns:sle="http://schemas.microsoft.com/office/drawing/2010/slicer" name="Total 20"/>
            </a:graphicData>
          </a:graphic>
        </xdr:graphicFrame>
      </mc:Choice>
      <mc:Fallback xmlns="">
        <xdr:sp macro="" textlink="">
          <xdr:nvSpPr>
            <xdr:cNvPr id="0" name=""/>
            <xdr:cNvSpPr>
              <a:spLocks noTextEdit="1"/>
            </xdr:cNvSpPr>
          </xdr:nvSpPr>
          <xdr:spPr>
            <a:xfrm>
              <a:off x="15024773" y="27210246"/>
              <a:ext cx="183032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6855806" y="27210246"/>
    <xdr:ext cx="1834747" cy="2524125"/>
    <mc:AlternateContent xmlns:mc="http://schemas.openxmlformats.org/markup-compatibility/2006" xmlns:sle15="http://schemas.microsoft.com/office/drawing/2012/slicer">
      <mc:Choice Requires="sle15">
        <xdr:graphicFrame macro="">
          <xdr:nvGraphicFramePr>
            <xdr:cNvPr id="22" name="Grade Scale 20">
              <a:extLst>
                <a:ext uri="{FF2B5EF4-FFF2-40B4-BE49-F238E27FC236}">
                  <a16:creationId xmlns:a16="http://schemas.microsoft.com/office/drawing/2014/main" id="{A4828763-CE9B-4A44-AF49-A7C72E5F305C}"/>
                </a:ext>
              </a:extLst>
            </xdr:cNvPr>
            <xdr:cNvGraphicFramePr/>
          </xdr:nvGraphicFramePr>
          <xdr:xfrm>
            <a:off x="0" y="0"/>
            <a:ext cx="0" cy="0"/>
          </xdr:xfrm>
          <a:graphic>
            <a:graphicData uri="http://schemas.microsoft.com/office/drawing/2010/slicer">
              <sle:slicer xmlns:sle="http://schemas.microsoft.com/office/drawing/2010/slicer" name="Grade Scale 20"/>
            </a:graphicData>
          </a:graphic>
        </xdr:graphicFrame>
      </mc:Choice>
      <mc:Fallback xmlns="">
        <xdr:sp macro="" textlink="">
          <xdr:nvSpPr>
            <xdr:cNvPr id="0" name=""/>
            <xdr:cNvSpPr>
              <a:spLocks noTextEdit="1"/>
            </xdr:cNvSpPr>
          </xdr:nvSpPr>
          <xdr:spPr>
            <a:xfrm>
              <a:off x="16855806" y="27210246"/>
              <a:ext cx="183474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8686669" y="27210246"/>
    <xdr:ext cx="1817842" cy="2524125"/>
    <mc:AlternateContent xmlns:mc="http://schemas.openxmlformats.org/markup-compatibility/2006" xmlns:sle15="http://schemas.microsoft.com/office/drawing/2012/slicer">
      <mc:Choice Requires="sle15">
        <xdr:graphicFrame macro="">
          <xdr:nvGraphicFramePr>
            <xdr:cNvPr id="23" name="Grade Point 24">
              <a:extLst>
                <a:ext uri="{FF2B5EF4-FFF2-40B4-BE49-F238E27FC236}">
                  <a16:creationId xmlns:a16="http://schemas.microsoft.com/office/drawing/2014/main" id="{8C36A03B-3F99-4D13-9BC1-BDF88F726837}"/>
                </a:ext>
              </a:extLst>
            </xdr:cNvPr>
            <xdr:cNvGraphicFramePr/>
          </xdr:nvGraphicFramePr>
          <xdr:xfrm>
            <a:off x="0" y="0"/>
            <a:ext cx="0" cy="0"/>
          </xdr:xfrm>
          <a:graphic>
            <a:graphicData uri="http://schemas.microsoft.com/office/drawing/2010/slicer">
              <sle:slicer xmlns:sle="http://schemas.microsoft.com/office/drawing/2010/slicer" name="Grade Point 24"/>
            </a:graphicData>
          </a:graphic>
        </xdr:graphicFrame>
      </mc:Choice>
      <mc:Fallback xmlns="">
        <xdr:sp macro="" textlink="">
          <xdr:nvSpPr>
            <xdr:cNvPr id="0" name=""/>
            <xdr:cNvSpPr>
              <a:spLocks noTextEdit="1"/>
            </xdr:cNvSpPr>
          </xdr:nvSpPr>
          <xdr:spPr>
            <a:xfrm>
              <a:off x="18686669" y="27210246"/>
              <a:ext cx="18178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7709062" y="36446404"/>
    <xdr:ext cx="1839006" cy="2524125"/>
    <mc:AlternateContent xmlns:mc="http://schemas.openxmlformats.org/markup-compatibility/2006" xmlns:sle15="http://schemas.microsoft.com/office/drawing/2012/slicer">
      <mc:Choice Requires="sle15">
        <xdr:graphicFrame macro="">
          <xdr:nvGraphicFramePr>
            <xdr:cNvPr id="24" name="Roll No 27">
              <a:extLst>
                <a:ext uri="{FF2B5EF4-FFF2-40B4-BE49-F238E27FC236}">
                  <a16:creationId xmlns:a16="http://schemas.microsoft.com/office/drawing/2014/main" id="{58EFF650-AC27-4115-9679-FB3B6EDE4C39}"/>
                </a:ext>
              </a:extLst>
            </xdr:cNvPr>
            <xdr:cNvGraphicFramePr/>
          </xdr:nvGraphicFramePr>
          <xdr:xfrm>
            <a:off x="0" y="0"/>
            <a:ext cx="0" cy="0"/>
          </xdr:xfrm>
          <a:graphic>
            <a:graphicData uri="http://schemas.microsoft.com/office/drawing/2010/slicer">
              <sle:slicer xmlns:sle="http://schemas.microsoft.com/office/drawing/2010/slicer" name="Roll No 27"/>
            </a:graphicData>
          </a:graphic>
        </xdr:graphicFrame>
      </mc:Choice>
      <mc:Fallback xmlns="">
        <xdr:sp macro="" textlink="">
          <xdr:nvSpPr>
            <xdr:cNvPr id="0" name=""/>
            <xdr:cNvSpPr>
              <a:spLocks noTextEdit="1"/>
            </xdr:cNvSpPr>
          </xdr:nvSpPr>
          <xdr:spPr>
            <a:xfrm>
              <a:off x="7709062" y="36446404"/>
              <a:ext cx="183900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9549201" y="36446404"/>
    <xdr:ext cx="1841469" cy="2524125"/>
    <mc:AlternateContent xmlns:mc="http://schemas.openxmlformats.org/markup-compatibility/2006" xmlns:sle15="http://schemas.microsoft.com/office/drawing/2012/slicer">
      <mc:Choice Requires="sle15">
        <xdr:graphicFrame macro="">
          <xdr:nvGraphicFramePr>
            <xdr:cNvPr id="25" name="Round of Average 21">
              <a:extLst>
                <a:ext uri="{FF2B5EF4-FFF2-40B4-BE49-F238E27FC236}">
                  <a16:creationId xmlns:a16="http://schemas.microsoft.com/office/drawing/2014/main" id="{D4AA3938-A40C-4BE2-8483-F99403286B3E}"/>
                </a:ext>
              </a:extLst>
            </xdr:cNvPr>
            <xdr:cNvGraphicFramePr/>
          </xdr:nvGraphicFramePr>
          <xdr:xfrm>
            <a:off x="0" y="0"/>
            <a:ext cx="0" cy="0"/>
          </xdr:xfrm>
          <a:graphic>
            <a:graphicData uri="http://schemas.microsoft.com/office/drawing/2010/slicer">
              <sle:slicer xmlns:sle="http://schemas.microsoft.com/office/drawing/2010/slicer" name="Round of Average 21"/>
            </a:graphicData>
          </a:graphic>
        </xdr:graphicFrame>
      </mc:Choice>
      <mc:Fallback xmlns="">
        <xdr:sp macro="" textlink="">
          <xdr:nvSpPr>
            <xdr:cNvPr id="0" name=""/>
            <xdr:cNvSpPr>
              <a:spLocks noTextEdit="1"/>
            </xdr:cNvSpPr>
          </xdr:nvSpPr>
          <xdr:spPr>
            <a:xfrm>
              <a:off x="9549201" y="36446404"/>
              <a:ext cx="184146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1387588" y="36446404"/>
    <xdr:ext cx="1828331" cy="2524125"/>
    <mc:AlternateContent xmlns:mc="http://schemas.openxmlformats.org/markup-compatibility/2006" xmlns:sle15="http://schemas.microsoft.com/office/drawing/2012/slicer">
      <mc:Choice Requires="sle15">
        <xdr:graphicFrame macro="">
          <xdr:nvGraphicFramePr>
            <xdr:cNvPr id="26" name="Assignment 12">
              <a:extLst>
                <a:ext uri="{FF2B5EF4-FFF2-40B4-BE49-F238E27FC236}">
                  <a16:creationId xmlns:a16="http://schemas.microsoft.com/office/drawing/2014/main" id="{F24D29FF-73E5-46A0-8915-1FCB29CF0B15}"/>
                </a:ext>
              </a:extLst>
            </xdr:cNvPr>
            <xdr:cNvGraphicFramePr/>
          </xdr:nvGraphicFramePr>
          <xdr:xfrm>
            <a:off x="0" y="0"/>
            <a:ext cx="0" cy="0"/>
          </xdr:xfrm>
          <a:graphic>
            <a:graphicData uri="http://schemas.microsoft.com/office/drawing/2010/slicer">
              <sle:slicer xmlns:sle="http://schemas.microsoft.com/office/drawing/2010/slicer" name="Assignment 12"/>
            </a:graphicData>
          </a:graphic>
        </xdr:graphicFrame>
      </mc:Choice>
      <mc:Fallback xmlns="">
        <xdr:sp macro="" textlink="">
          <xdr:nvSpPr>
            <xdr:cNvPr id="0" name=""/>
            <xdr:cNvSpPr>
              <a:spLocks noTextEdit="1"/>
            </xdr:cNvSpPr>
          </xdr:nvSpPr>
          <xdr:spPr>
            <a:xfrm>
              <a:off x="11387588" y="36446404"/>
              <a:ext cx="182833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3215237" y="36446404"/>
    <xdr:ext cx="1836855" cy="2524125"/>
    <mc:AlternateContent xmlns:mc="http://schemas.openxmlformats.org/markup-compatibility/2006" xmlns:sle15="http://schemas.microsoft.com/office/drawing/2012/slicer">
      <mc:Choice Requires="sle15">
        <xdr:graphicFrame macro="">
          <xdr:nvGraphicFramePr>
            <xdr:cNvPr id="27" name="Final 21">
              <a:extLst>
                <a:ext uri="{FF2B5EF4-FFF2-40B4-BE49-F238E27FC236}">
                  <a16:creationId xmlns:a16="http://schemas.microsoft.com/office/drawing/2014/main" id="{53F5F158-9250-42CC-A31E-AA1BF043AD43}"/>
                </a:ext>
              </a:extLst>
            </xdr:cNvPr>
            <xdr:cNvGraphicFramePr/>
          </xdr:nvGraphicFramePr>
          <xdr:xfrm>
            <a:off x="0" y="0"/>
            <a:ext cx="0" cy="0"/>
          </xdr:xfrm>
          <a:graphic>
            <a:graphicData uri="http://schemas.microsoft.com/office/drawing/2010/slicer">
              <sle:slicer xmlns:sle="http://schemas.microsoft.com/office/drawing/2010/slicer" name="Final 21"/>
            </a:graphicData>
          </a:graphic>
        </xdr:graphicFrame>
      </mc:Choice>
      <mc:Fallback xmlns="">
        <xdr:sp macro="" textlink="">
          <xdr:nvSpPr>
            <xdr:cNvPr id="0" name=""/>
            <xdr:cNvSpPr>
              <a:spLocks noTextEdit="1"/>
            </xdr:cNvSpPr>
          </xdr:nvSpPr>
          <xdr:spPr>
            <a:xfrm>
              <a:off x="13215237" y="36446404"/>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5048585" y="36446404"/>
    <xdr:ext cx="1830322" cy="2524125"/>
    <mc:AlternateContent xmlns:mc="http://schemas.openxmlformats.org/markup-compatibility/2006" xmlns:sle15="http://schemas.microsoft.com/office/drawing/2012/slicer">
      <mc:Choice Requires="sle15">
        <xdr:graphicFrame macro="">
          <xdr:nvGraphicFramePr>
            <xdr:cNvPr id="28" name="Total 21">
              <a:extLst>
                <a:ext uri="{FF2B5EF4-FFF2-40B4-BE49-F238E27FC236}">
                  <a16:creationId xmlns:a16="http://schemas.microsoft.com/office/drawing/2014/main" id="{055EC312-E534-463A-B48B-F5BCBC7A0677}"/>
                </a:ext>
              </a:extLst>
            </xdr:cNvPr>
            <xdr:cNvGraphicFramePr/>
          </xdr:nvGraphicFramePr>
          <xdr:xfrm>
            <a:off x="0" y="0"/>
            <a:ext cx="0" cy="0"/>
          </xdr:xfrm>
          <a:graphic>
            <a:graphicData uri="http://schemas.microsoft.com/office/drawing/2010/slicer">
              <sle:slicer xmlns:sle="http://schemas.microsoft.com/office/drawing/2010/slicer" name="Total 21"/>
            </a:graphicData>
          </a:graphic>
        </xdr:graphicFrame>
      </mc:Choice>
      <mc:Fallback xmlns="">
        <xdr:sp macro="" textlink="">
          <xdr:nvSpPr>
            <xdr:cNvPr id="0" name=""/>
            <xdr:cNvSpPr>
              <a:spLocks noTextEdit="1"/>
            </xdr:cNvSpPr>
          </xdr:nvSpPr>
          <xdr:spPr>
            <a:xfrm>
              <a:off x="15048585" y="36446404"/>
              <a:ext cx="183032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6879618" y="36446404"/>
    <xdr:ext cx="1834747" cy="2524125"/>
    <mc:AlternateContent xmlns:mc="http://schemas.openxmlformats.org/markup-compatibility/2006" xmlns:sle15="http://schemas.microsoft.com/office/drawing/2012/slicer">
      <mc:Choice Requires="sle15">
        <xdr:graphicFrame macro="">
          <xdr:nvGraphicFramePr>
            <xdr:cNvPr id="29" name="Grade Scale 21">
              <a:extLst>
                <a:ext uri="{FF2B5EF4-FFF2-40B4-BE49-F238E27FC236}">
                  <a16:creationId xmlns:a16="http://schemas.microsoft.com/office/drawing/2014/main" id="{DCE449CA-9A45-431D-A7AE-8059188E057A}"/>
                </a:ext>
              </a:extLst>
            </xdr:cNvPr>
            <xdr:cNvGraphicFramePr/>
          </xdr:nvGraphicFramePr>
          <xdr:xfrm>
            <a:off x="0" y="0"/>
            <a:ext cx="0" cy="0"/>
          </xdr:xfrm>
          <a:graphic>
            <a:graphicData uri="http://schemas.microsoft.com/office/drawing/2010/slicer">
              <sle:slicer xmlns:sle="http://schemas.microsoft.com/office/drawing/2010/slicer" name="Grade Scale 21"/>
            </a:graphicData>
          </a:graphic>
        </xdr:graphicFrame>
      </mc:Choice>
      <mc:Fallback xmlns="">
        <xdr:sp macro="" textlink="">
          <xdr:nvSpPr>
            <xdr:cNvPr id="0" name=""/>
            <xdr:cNvSpPr>
              <a:spLocks noTextEdit="1"/>
            </xdr:cNvSpPr>
          </xdr:nvSpPr>
          <xdr:spPr>
            <a:xfrm>
              <a:off x="16879618" y="36446404"/>
              <a:ext cx="183474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8710481" y="36446404"/>
    <xdr:ext cx="1817842" cy="2524125"/>
    <mc:AlternateContent xmlns:mc="http://schemas.openxmlformats.org/markup-compatibility/2006" xmlns:sle15="http://schemas.microsoft.com/office/drawing/2012/slicer">
      <mc:Choice Requires="sle15">
        <xdr:graphicFrame macro="">
          <xdr:nvGraphicFramePr>
            <xdr:cNvPr id="30" name="Grade Point 25">
              <a:extLst>
                <a:ext uri="{FF2B5EF4-FFF2-40B4-BE49-F238E27FC236}">
                  <a16:creationId xmlns:a16="http://schemas.microsoft.com/office/drawing/2014/main" id="{0215680E-FF5F-4D15-96C1-DEF4AE55A38D}"/>
                </a:ext>
              </a:extLst>
            </xdr:cNvPr>
            <xdr:cNvGraphicFramePr/>
          </xdr:nvGraphicFramePr>
          <xdr:xfrm>
            <a:off x="0" y="0"/>
            <a:ext cx="0" cy="0"/>
          </xdr:xfrm>
          <a:graphic>
            <a:graphicData uri="http://schemas.microsoft.com/office/drawing/2010/slicer">
              <sle:slicer xmlns:sle="http://schemas.microsoft.com/office/drawing/2010/slicer" name="Grade Point 25"/>
            </a:graphicData>
          </a:graphic>
        </xdr:graphicFrame>
      </mc:Choice>
      <mc:Fallback xmlns="">
        <xdr:sp macro="" textlink="">
          <xdr:nvSpPr>
            <xdr:cNvPr id="0" name=""/>
            <xdr:cNvSpPr>
              <a:spLocks noTextEdit="1"/>
            </xdr:cNvSpPr>
          </xdr:nvSpPr>
          <xdr:spPr>
            <a:xfrm>
              <a:off x="18710481" y="36446404"/>
              <a:ext cx="18178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twoCellAnchor editAs="absolute">
    <xdr:from>
      <xdr:col>7</xdr:col>
      <xdr:colOff>1835390</xdr:colOff>
      <xdr:row>0</xdr:row>
      <xdr:rowOff>110092</xdr:rowOff>
    </xdr:from>
    <xdr:to>
      <xdr:col>8</xdr:col>
      <xdr:colOff>324837</xdr:colOff>
      <xdr:row>11</xdr:row>
      <xdr:rowOff>190499</xdr:rowOff>
    </xdr:to>
    <mc:AlternateContent xmlns:mc="http://schemas.openxmlformats.org/markup-compatibility/2006" xmlns:sle15="http://schemas.microsoft.com/office/drawing/2012/slicer">
      <mc:Choice Requires="sle15">
        <xdr:graphicFrame macro="">
          <xdr:nvGraphicFramePr>
            <xdr:cNvPr id="38" name="Total Subject CGPA 4">
              <a:extLst>
                <a:ext uri="{FF2B5EF4-FFF2-40B4-BE49-F238E27FC236}">
                  <a16:creationId xmlns:a16="http://schemas.microsoft.com/office/drawing/2014/main" id="{55943271-23C2-4C18-AC99-03D7D4596776}"/>
                </a:ext>
              </a:extLst>
            </xdr:cNvPr>
            <xdr:cNvGraphicFramePr/>
          </xdr:nvGraphicFramePr>
          <xdr:xfrm>
            <a:off x="0" y="0"/>
            <a:ext cx="0" cy="0"/>
          </xdr:xfrm>
          <a:graphic>
            <a:graphicData uri="http://schemas.microsoft.com/office/drawing/2010/slicer">
              <sle:slicer xmlns:sle="http://schemas.microsoft.com/office/drawing/2010/slicer" name="Total Subject CGPA 4"/>
            </a:graphicData>
          </a:graphic>
        </xdr:graphicFrame>
      </mc:Choice>
      <mc:Fallback xmlns="">
        <xdr:sp macro="" textlink="">
          <xdr:nvSpPr>
            <xdr:cNvPr id="0" name=""/>
            <xdr:cNvSpPr>
              <a:spLocks noTextEdit="1"/>
            </xdr:cNvSpPr>
          </xdr:nvSpPr>
          <xdr:spPr>
            <a:xfrm>
              <a:off x="13579155" y="110092"/>
              <a:ext cx="1817594" cy="2175907"/>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absoluteAnchor>
    <xdr:pos x="11233452" y="110092"/>
    <xdr:ext cx="1816842" cy="2182712"/>
    <mc:AlternateContent xmlns:mc="http://schemas.openxmlformats.org/markup-compatibility/2006" xmlns:sle15="http://schemas.microsoft.com/office/drawing/2012/slicer">
      <mc:Choice Requires="sle15">
        <xdr:graphicFrame macro="">
          <xdr:nvGraphicFramePr>
            <xdr:cNvPr id="2" name="Roll No 11">
              <a:extLst>
                <a:ext uri="{FF2B5EF4-FFF2-40B4-BE49-F238E27FC236}">
                  <a16:creationId xmlns:a16="http://schemas.microsoft.com/office/drawing/2014/main" id="{E9E35DF5-0CB1-44C2-A588-A22F1E2F7FFF}"/>
                </a:ext>
              </a:extLst>
            </xdr:cNvPr>
            <xdr:cNvGraphicFramePr/>
          </xdr:nvGraphicFramePr>
          <xdr:xfrm>
            <a:off x="0" y="0"/>
            <a:ext cx="0" cy="0"/>
          </xdr:xfrm>
          <a:graphic>
            <a:graphicData uri="http://schemas.microsoft.com/office/drawing/2010/slicer">
              <sle:slicer xmlns:sle="http://schemas.microsoft.com/office/drawing/2010/slicer" name="Roll No 11"/>
            </a:graphicData>
          </a:graphic>
        </xdr:graphicFrame>
      </mc:Choice>
      <mc:Fallback xmlns="">
        <xdr:sp macro="" textlink="">
          <xdr:nvSpPr>
            <xdr:cNvPr id="0" name=""/>
            <xdr:cNvSpPr>
              <a:spLocks noTextEdit="1"/>
            </xdr:cNvSpPr>
          </xdr:nvSpPr>
          <xdr:spPr>
            <a:xfrm>
              <a:off x="11233452" y="110092"/>
              <a:ext cx="1816842" cy="2182712"/>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3028156" y="110092"/>
    <xdr:ext cx="1852614" cy="2182712"/>
    <mc:AlternateContent xmlns:mc="http://schemas.openxmlformats.org/markup-compatibility/2006" xmlns:sle15="http://schemas.microsoft.com/office/drawing/2012/slicer">
      <mc:Choice Requires="sle15">
        <xdr:graphicFrame macro="">
          <xdr:nvGraphicFramePr>
            <xdr:cNvPr id="3" name="Total Subject CGPA 2">
              <a:extLst>
                <a:ext uri="{FF2B5EF4-FFF2-40B4-BE49-F238E27FC236}">
                  <a16:creationId xmlns:a16="http://schemas.microsoft.com/office/drawing/2014/main" id="{33162A4F-D443-4B36-A49C-9E632F77AD5C}"/>
                </a:ext>
              </a:extLst>
            </xdr:cNvPr>
            <xdr:cNvGraphicFramePr/>
          </xdr:nvGraphicFramePr>
          <xdr:xfrm>
            <a:off x="0" y="0"/>
            <a:ext cx="0" cy="0"/>
          </xdr:xfrm>
          <a:graphic>
            <a:graphicData uri="http://schemas.microsoft.com/office/drawing/2010/slicer">
              <sle:slicer xmlns:sle="http://schemas.microsoft.com/office/drawing/2010/slicer" name="Total Subject CGPA 2"/>
            </a:graphicData>
          </a:graphic>
        </xdr:graphicFrame>
      </mc:Choice>
      <mc:Fallback xmlns="">
        <xdr:sp macro="" textlink="">
          <xdr:nvSpPr>
            <xdr:cNvPr id="0" name=""/>
            <xdr:cNvSpPr>
              <a:spLocks noTextEdit="1"/>
            </xdr:cNvSpPr>
          </xdr:nvSpPr>
          <xdr:spPr>
            <a:xfrm>
              <a:off x="13028156" y="110092"/>
              <a:ext cx="1852614" cy="2182712"/>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9206080" y="8717114"/>
    <xdr:ext cx="1835442" cy="2524125"/>
    <mc:AlternateContent xmlns:mc="http://schemas.openxmlformats.org/markup-compatibility/2006" xmlns:sle15="http://schemas.microsoft.com/office/drawing/2012/slicer">
      <mc:Choice Requires="sle15">
        <xdr:graphicFrame macro="">
          <xdr:nvGraphicFramePr>
            <xdr:cNvPr id="5" name="Roll No 12">
              <a:extLst>
                <a:ext uri="{FF2B5EF4-FFF2-40B4-BE49-F238E27FC236}">
                  <a16:creationId xmlns:a16="http://schemas.microsoft.com/office/drawing/2014/main" id="{25590F95-3CCC-4C13-AC58-7F3395B17B56}"/>
                </a:ext>
              </a:extLst>
            </xdr:cNvPr>
            <xdr:cNvGraphicFramePr/>
          </xdr:nvGraphicFramePr>
          <xdr:xfrm>
            <a:off x="0" y="0"/>
            <a:ext cx="0" cy="0"/>
          </xdr:xfrm>
          <a:graphic>
            <a:graphicData uri="http://schemas.microsoft.com/office/drawing/2010/slicer">
              <sle:slicer xmlns:sle="http://schemas.microsoft.com/office/drawing/2010/slicer" name="Roll No 12"/>
            </a:graphicData>
          </a:graphic>
        </xdr:graphicFrame>
      </mc:Choice>
      <mc:Fallback xmlns="">
        <xdr:sp macro="" textlink="">
          <xdr:nvSpPr>
            <xdr:cNvPr id="0" name=""/>
            <xdr:cNvSpPr>
              <a:spLocks noTextEdit="1"/>
            </xdr:cNvSpPr>
          </xdr:nvSpPr>
          <xdr:spPr>
            <a:xfrm>
              <a:off x="9206080" y="8717114"/>
              <a:ext cx="183544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1023383" y="8717114"/>
    <xdr:ext cx="1829845" cy="2524125"/>
    <mc:AlternateContent xmlns:mc="http://schemas.openxmlformats.org/markup-compatibility/2006" xmlns:sle15="http://schemas.microsoft.com/office/drawing/2012/slicer">
      <mc:Choice Requires="sle15">
        <xdr:graphicFrame macro="">
          <xdr:nvGraphicFramePr>
            <xdr:cNvPr id="6" name="Round of Average 8">
              <a:extLst>
                <a:ext uri="{FF2B5EF4-FFF2-40B4-BE49-F238E27FC236}">
                  <a16:creationId xmlns:a16="http://schemas.microsoft.com/office/drawing/2014/main" id="{742529E5-F07F-4786-B6AA-43F352BFD3CA}"/>
                </a:ext>
              </a:extLst>
            </xdr:cNvPr>
            <xdr:cNvGraphicFramePr/>
          </xdr:nvGraphicFramePr>
          <xdr:xfrm>
            <a:off x="0" y="0"/>
            <a:ext cx="0" cy="0"/>
          </xdr:xfrm>
          <a:graphic>
            <a:graphicData uri="http://schemas.microsoft.com/office/drawing/2010/slicer">
              <sle:slicer xmlns:sle="http://schemas.microsoft.com/office/drawing/2010/slicer" name="Round of Average 8"/>
            </a:graphicData>
          </a:graphic>
        </xdr:graphicFrame>
      </mc:Choice>
      <mc:Fallback xmlns="">
        <xdr:sp macro="" textlink="">
          <xdr:nvSpPr>
            <xdr:cNvPr id="0" name=""/>
            <xdr:cNvSpPr>
              <a:spLocks noTextEdit="1"/>
            </xdr:cNvSpPr>
          </xdr:nvSpPr>
          <xdr:spPr>
            <a:xfrm>
              <a:off x="11023383" y="8717114"/>
              <a:ext cx="182984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2853675" y="8717114"/>
    <xdr:ext cx="1841340" cy="2524125"/>
    <mc:AlternateContent xmlns:mc="http://schemas.openxmlformats.org/markup-compatibility/2006" xmlns:sle15="http://schemas.microsoft.com/office/drawing/2012/slicer">
      <mc:Choice Requires="sle15">
        <xdr:graphicFrame macro="">
          <xdr:nvGraphicFramePr>
            <xdr:cNvPr id="7" name="Midterm 6">
              <a:extLst>
                <a:ext uri="{FF2B5EF4-FFF2-40B4-BE49-F238E27FC236}">
                  <a16:creationId xmlns:a16="http://schemas.microsoft.com/office/drawing/2014/main" id="{816FF392-6E89-415B-B744-EB606BC5A66A}"/>
                </a:ext>
              </a:extLst>
            </xdr:cNvPr>
            <xdr:cNvGraphicFramePr/>
          </xdr:nvGraphicFramePr>
          <xdr:xfrm>
            <a:off x="0" y="0"/>
            <a:ext cx="0" cy="0"/>
          </xdr:xfrm>
          <a:graphic>
            <a:graphicData uri="http://schemas.microsoft.com/office/drawing/2010/slicer">
              <sle:slicer xmlns:sle="http://schemas.microsoft.com/office/drawing/2010/slicer" name="Midterm 6"/>
            </a:graphicData>
          </a:graphic>
        </xdr:graphicFrame>
      </mc:Choice>
      <mc:Fallback xmlns="">
        <xdr:sp macro="" textlink="">
          <xdr:nvSpPr>
            <xdr:cNvPr id="0" name=""/>
            <xdr:cNvSpPr>
              <a:spLocks noTextEdit="1"/>
            </xdr:cNvSpPr>
          </xdr:nvSpPr>
          <xdr:spPr>
            <a:xfrm>
              <a:off x="12853675" y="8717114"/>
              <a:ext cx="184134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4684919" y="8717114"/>
    <xdr:ext cx="1834011" cy="2524125"/>
    <mc:AlternateContent xmlns:mc="http://schemas.openxmlformats.org/markup-compatibility/2006" xmlns:sle15="http://schemas.microsoft.com/office/drawing/2012/slicer">
      <mc:Choice Requires="sle15">
        <xdr:graphicFrame macro="">
          <xdr:nvGraphicFramePr>
            <xdr:cNvPr id="8" name="Final 8">
              <a:extLst>
                <a:ext uri="{FF2B5EF4-FFF2-40B4-BE49-F238E27FC236}">
                  <a16:creationId xmlns:a16="http://schemas.microsoft.com/office/drawing/2014/main" id="{B966C649-D294-4023-B828-9F60B832A5B8}"/>
                </a:ext>
              </a:extLst>
            </xdr:cNvPr>
            <xdr:cNvGraphicFramePr/>
          </xdr:nvGraphicFramePr>
          <xdr:xfrm>
            <a:off x="0" y="0"/>
            <a:ext cx="0" cy="0"/>
          </xdr:xfrm>
          <a:graphic>
            <a:graphicData uri="http://schemas.microsoft.com/office/drawing/2010/slicer">
              <sle:slicer xmlns:sle="http://schemas.microsoft.com/office/drawing/2010/slicer" name="Final 8"/>
            </a:graphicData>
          </a:graphic>
        </xdr:graphicFrame>
      </mc:Choice>
      <mc:Fallback xmlns="">
        <xdr:sp macro="" textlink="">
          <xdr:nvSpPr>
            <xdr:cNvPr id="0" name=""/>
            <xdr:cNvSpPr>
              <a:spLocks noTextEdit="1"/>
            </xdr:cNvSpPr>
          </xdr:nvSpPr>
          <xdr:spPr>
            <a:xfrm>
              <a:off x="14684919" y="8717114"/>
              <a:ext cx="183401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6517208" y="8717114"/>
    <xdr:ext cx="1827461" cy="2524125"/>
    <mc:AlternateContent xmlns:mc="http://schemas.openxmlformats.org/markup-compatibility/2006" xmlns:sle15="http://schemas.microsoft.com/office/drawing/2012/slicer">
      <mc:Choice Requires="sle15">
        <xdr:graphicFrame macro="">
          <xdr:nvGraphicFramePr>
            <xdr:cNvPr id="9" name="Total 8">
              <a:extLst>
                <a:ext uri="{FF2B5EF4-FFF2-40B4-BE49-F238E27FC236}">
                  <a16:creationId xmlns:a16="http://schemas.microsoft.com/office/drawing/2014/main" id="{69F9F94B-A616-47C0-940E-1B2464BDF9D7}"/>
                </a:ext>
              </a:extLst>
            </xdr:cNvPr>
            <xdr:cNvGraphicFramePr/>
          </xdr:nvGraphicFramePr>
          <xdr:xfrm>
            <a:off x="0" y="0"/>
            <a:ext cx="0" cy="0"/>
          </xdr:xfrm>
          <a:graphic>
            <a:graphicData uri="http://schemas.microsoft.com/office/drawing/2010/slicer">
              <sle:slicer xmlns:sle="http://schemas.microsoft.com/office/drawing/2010/slicer" name="Total 8"/>
            </a:graphicData>
          </a:graphic>
        </xdr:graphicFrame>
      </mc:Choice>
      <mc:Fallback xmlns="">
        <xdr:sp macro="" textlink="">
          <xdr:nvSpPr>
            <xdr:cNvPr id="0" name=""/>
            <xdr:cNvSpPr>
              <a:spLocks noTextEdit="1"/>
            </xdr:cNvSpPr>
          </xdr:nvSpPr>
          <xdr:spPr>
            <a:xfrm>
              <a:off x="16517208" y="8717114"/>
              <a:ext cx="182746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8345965" y="8717114"/>
    <xdr:ext cx="1827356" cy="2524125"/>
    <mc:AlternateContent xmlns:mc="http://schemas.openxmlformats.org/markup-compatibility/2006" xmlns:sle15="http://schemas.microsoft.com/office/drawing/2012/slicer">
      <mc:Choice Requires="sle15">
        <xdr:graphicFrame macro="">
          <xdr:nvGraphicFramePr>
            <xdr:cNvPr id="10" name="Grade Scale 8">
              <a:extLst>
                <a:ext uri="{FF2B5EF4-FFF2-40B4-BE49-F238E27FC236}">
                  <a16:creationId xmlns:a16="http://schemas.microsoft.com/office/drawing/2014/main" id="{4C7F32E1-B1A6-4A27-85C8-3E49609F5548}"/>
                </a:ext>
              </a:extLst>
            </xdr:cNvPr>
            <xdr:cNvGraphicFramePr/>
          </xdr:nvGraphicFramePr>
          <xdr:xfrm>
            <a:off x="0" y="0"/>
            <a:ext cx="0" cy="0"/>
          </xdr:xfrm>
          <a:graphic>
            <a:graphicData uri="http://schemas.microsoft.com/office/drawing/2010/slicer">
              <sle:slicer xmlns:sle="http://schemas.microsoft.com/office/drawing/2010/slicer" name="Grade Scale 8"/>
            </a:graphicData>
          </a:graphic>
        </xdr:graphicFrame>
      </mc:Choice>
      <mc:Fallback xmlns="">
        <xdr:sp macro="" textlink="">
          <xdr:nvSpPr>
            <xdr:cNvPr id="0" name=""/>
            <xdr:cNvSpPr>
              <a:spLocks noTextEdit="1"/>
            </xdr:cNvSpPr>
          </xdr:nvSpPr>
          <xdr:spPr>
            <a:xfrm>
              <a:off x="18345965" y="8717114"/>
              <a:ext cx="1827356"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0161924" y="8717114"/>
    <xdr:ext cx="1843804" cy="2524125"/>
    <mc:AlternateContent xmlns:mc="http://schemas.openxmlformats.org/markup-compatibility/2006" xmlns:sle15="http://schemas.microsoft.com/office/drawing/2012/slicer">
      <mc:Choice Requires="sle15">
        <xdr:graphicFrame macro="">
          <xdr:nvGraphicFramePr>
            <xdr:cNvPr id="11" name="Grade Point 11">
              <a:extLst>
                <a:ext uri="{FF2B5EF4-FFF2-40B4-BE49-F238E27FC236}">
                  <a16:creationId xmlns:a16="http://schemas.microsoft.com/office/drawing/2014/main" id="{6325D6DA-0775-4E63-87D9-E32FA6B134A3}"/>
                </a:ext>
              </a:extLst>
            </xdr:cNvPr>
            <xdr:cNvGraphicFramePr/>
          </xdr:nvGraphicFramePr>
          <xdr:xfrm>
            <a:off x="0" y="0"/>
            <a:ext cx="0" cy="0"/>
          </xdr:xfrm>
          <a:graphic>
            <a:graphicData uri="http://schemas.microsoft.com/office/drawing/2010/slicer">
              <sle:slicer xmlns:sle="http://schemas.microsoft.com/office/drawing/2010/slicer" name="Grade Point 11"/>
            </a:graphicData>
          </a:graphic>
        </xdr:graphicFrame>
      </mc:Choice>
      <mc:Fallback xmlns="">
        <xdr:sp macro="" textlink="">
          <xdr:nvSpPr>
            <xdr:cNvPr id="0" name=""/>
            <xdr:cNvSpPr>
              <a:spLocks noTextEdit="1"/>
            </xdr:cNvSpPr>
          </xdr:nvSpPr>
          <xdr:spPr>
            <a:xfrm>
              <a:off x="20161924" y="8717114"/>
              <a:ext cx="1843804"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9318836" y="17974221"/>
    <xdr:ext cx="1828800" cy="2524125"/>
    <mc:AlternateContent xmlns:mc="http://schemas.openxmlformats.org/markup-compatibility/2006" xmlns:sle15="http://schemas.microsoft.com/office/drawing/2012/slicer">
      <mc:Choice Requires="sle15">
        <xdr:graphicFrame macro="">
          <xdr:nvGraphicFramePr>
            <xdr:cNvPr id="12" name="Roll No 13">
              <a:extLst>
                <a:ext uri="{FF2B5EF4-FFF2-40B4-BE49-F238E27FC236}">
                  <a16:creationId xmlns:a16="http://schemas.microsoft.com/office/drawing/2014/main" id="{D2223D1F-3DA9-4F3D-A8C9-F42F96A559C7}"/>
                </a:ext>
              </a:extLst>
            </xdr:cNvPr>
            <xdr:cNvGraphicFramePr/>
          </xdr:nvGraphicFramePr>
          <xdr:xfrm>
            <a:off x="0" y="0"/>
            <a:ext cx="0" cy="0"/>
          </xdr:xfrm>
          <a:graphic>
            <a:graphicData uri="http://schemas.microsoft.com/office/drawing/2010/slicer">
              <sle:slicer xmlns:sle="http://schemas.microsoft.com/office/drawing/2010/slicer" name="Roll No 13"/>
            </a:graphicData>
          </a:graphic>
        </xdr:graphicFrame>
      </mc:Choice>
      <mc:Fallback xmlns="">
        <xdr:sp macro="" textlink="">
          <xdr:nvSpPr>
            <xdr:cNvPr id="0" name=""/>
            <xdr:cNvSpPr>
              <a:spLocks noTextEdit="1"/>
            </xdr:cNvSpPr>
          </xdr:nvSpPr>
          <xdr:spPr>
            <a:xfrm>
              <a:off x="9318836" y="17974221"/>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1144636" y="17974221"/>
    <xdr:ext cx="1829552" cy="2524125"/>
    <mc:AlternateContent xmlns:mc="http://schemas.openxmlformats.org/markup-compatibility/2006" xmlns:sle15="http://schemas.microsoft.com/office/drawing/2012/slicer">
      <mc:Choice Requires="sle15">
        <xdr:graphicFrame macro="">
          <xdr:nvGraphicFramePr>
            <xdr:cNvPr id="13" name="Round of Average 9">
              <a:extLst>
                <a:ext uri="{FF2B5EF4-FFF2-40B4-BE49-F238E27FC236}">
                  <a16:creationId xmlns:a16="http://schemas.microsoft.com/office/drawing/2014/main" id="{8088ACA2-F687-46FF-A06C-B248D71FE59D}"/>
                </a:ext>
              </a:extLst>
            </xdr:cNvPr>
            <xdr:cNvGraphicFramePr/>
          </xdr:nvGraphicFramePr>
          <xdr:xfrm>
            <a:off x="0" y="0"/>
            <a:ext cx="0" cy="0"/>
          </xdr:xfrm>
          <a:graphic>
            <a:graphicData uri="http://schemas.microsoft.com/office/drawing/2010/slicer">
              <sle:slicer xmlns:sle="http://schemas.microsoft.com/office/drawing/2010/slicer" name="Round of Average 9"/>
            </a:graphicData>
          </a:graphic>
        </xdr:graphicFrame>
      </mc:Choice>
      <mc:Fallback xmlns="">
        <xdr:sp macro="" textlink="">
          <xdr:nvSpPr>
            <xdr:cNvPr id="0" name=""/>
            <xdr:cNvSpPr>
              <a:spLocks noTextEdit="1"/>
            </xdr:cNvSpPr>
          </xdr:nvSpPr>
          <xdr:spPr>
            <a:xfrm>
              <a:off x="11144636" y="17974221"/>
              <a:ext cx="182955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2965295" y="17974221"/>
    <xdr:ext cx="1828098" cy="2524125"/>
    <mc:AlternateContent xmlns:mc="http://schemas.openxmlformats.org/markup-compatibility/2006" xmlns:sle15="http://schemas.microsoft.com/office/drawing/2012/slicer">
      <mc:Choice Requires="sle15">
        <xdr:graphicFrame macro="">
          <xdr:nvGraphicFramePr>
            <xdr:cNvPr id="14" name="Midterm 7">
              <a:extLst>
                <a:ext uri="{FF2B5EF4-FFF2-40B4-BE49-F238E27FC236}">
                  <a16:creationId xmlns:a16="http://schemas.microsoft.com/office/drawing/2014/main" id="{2ABC41D0-A63E-486B-9D3A-080A57AF9D4C}"/>
                </a:ext>
              </a:extLst>
            </xdr:cNvPr>
            <xdr:cNvGraphicFramePr/>
          </xdr:nvGraphicFramePr>
          <xdr:xfrm>
            <a:off x="0" y="0"/>
            <a:ext cx="0" cy="0"/>
          </xdr:xfrm>
          <a:graphic>
            <a:graphicData uri="http://schemas.microsoft.com/office/drawing/2010/slicer">
              <sle:slicer xmlns:sle="http://schemas.microsoft.com/office/drawing/2010/slicer" name="Midterm 7"/>
            </a:graphicData>
          </a:graphic>
        </xdr:graphicFrame>
      </mc:Choice>
      <mc:Fallback xmlns="">
        <xdr:sp macro="" textlink="">
          <xdr:nvSpPr>
            <xdr:cNvPr id="0" name=""/>
            <xdr:cNvSpPr>
              <a:spLocks noTextEdit="1"/>
            </xdr:cNvSpPr>
          </xdr:nvSpPr>
          <xdr:spPr>
            <a:xfrm>
              <a:off x="12965295" y="17974221"/>
              <a:ext cx="182809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4795281" y="17974221"/>
    <xdr:ext cx="1840754" cy="2524125"/>
    <mc:AlternateContent xmlns:mc="http://schemas.openxmlformats.org/markup-compatibility/2006" xmlns:sle15="http://schemas.microsoft.com/office/drawing/2012/slicer">
      <mc:Choice Requires="sle15">
        <xdr:graphicFrame macro="">
          <xdr:nvGraphicFramePr>
            <xdr:cNvPr id="15" name="Final 9">
              <a:extLst>
                <a:ext uri="{FF2B5EF4-FFF2-40B4-BE49-F238E27FC236}">
                  <a16:creationId xmlns:a16="http://schemas.microsoft.com/office/drawing/2014/main" id="{BFC6CB2B-C18D-4E54-821D-E8D517D42901}"/>
                </a:ext>
              </a:extLst>
            </xdr:cNvPr>
            <xdr:cNvGraphicFramePr/>
          </xdr:nvGraphicFramePr>
          <xdr:xfrm>
            <a:off x="0" y="0"/>
            <a:ext cx="0" cy="0"/>
          </xdr:xfrm>
          <a:graphic>
            <a:graphicData uri="http://schemas.microsoft.com/office/drawing/2010/slicer">
              <sle:slicer xmlns:sle="http://schemas.microsoft.com/office/drawing/2010/slicer" name="Final 9"/>
            </a:graphicData>
          </a:graphic>
        </xdr:graphicFrame>
      </mc:Choice>
      <mc:Fallback xmlns="">
        <xdr:sp macro="" textlink="">
          <xdr:nvSpPr>
            <xdr:cNvPr id="0" name=""/>
            <xdr:cNvSpPr>
              <a:spLocks noTextEdit="1"/>
            </xdr:cNvSpPr>
          </xdr:nvSpPr>
          <xdr:spPr>
            <a:xfrm>
              <a:off x="14795281" y="17974221"/>
              <a:ext cx="1840754"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6631427" y="17974221"/>
    <xdr:ext cx="1824805" cy="2524125"/>
    <mc:AlternateContent xmlns:mc="http://schemas.openxmlformats.org/markup-compatibility/2006" xmlns:sle15="http://schemas.microsoft.com/office/drawing/2012/slicer">
      <mc:Choice Requires="sle15">
        <xdr:graphicFrame macro="">
          <xdr:nvGraphicFramePr>
            <xdr:cNvPr id="16" name="Total 9">
              <a:extLst>
                <a:ext uri="{FF2B5EF4-FFF2-40B4-BE49-F238E27FC236}">
                  <a16:creationId xmlns:a16="http://schemas.microsoft.com/office/drawing/2014/main" id="{E0CDA4A1-234A-49EA-B3F3-2ECE9B2A15A7}"/>
                </a:ext>
              </a:extLst>
            </xdr:cNvPr>
            <xdr:cNvGraphicFramePr/>
          </xdr:nvGraphicFramePr>
          <xdr:xfrm>
            <a:off x="0" y="0"/>
            <a:ext cx="0" cy="0"/>
          </xdr:xfrm>
          <a:graphic>
            <a:graphicData uri="http://schemas.microsoft.com/office/drawing/2010/slicer">
              <sle:slicer xmlns:sle="http://schemas.microsoft.com/office/drawing/2010/slicer" name="Total 9"/>
            </a:graphicData>
          </a:graphic>
        </xdr:graphicFrame>
      </mc:Choice>
      <mc:Fallback xmlns="">
        <xdr:sp macro="" textlink="">
          <xdr:nvSpPr>
            <xdr:cNvPr id="0" name=""/>
            <xdr:cNvSpPr>
              <a:spLocks noTextEdit="1"/>
            </xdr:cNvSpPr>
          </xdr:nvSpPr>
          <xdr:spPr>
            <a:xfrm>
              <a:off x="16631427" y="17974221"/>
              <a:ext cx="182480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8449755" y="17974221"/>
    <xdr:ext cx="1829052" cy="2524125"/>
    <mc:AlternateContent xmlns:mc="http://schemas.openxmlformats.org/markup-compatibility/2006" xmlns:sle15="http://schemas.microsoft.com/office/drawing/2012/slicer">
      <mc:Choice Requires="sle15">
        <xdr:graphicFrame macro="">
          <xdr:nvGraphicFramePr>
            <xdr:cNvPr id="17" name="Grade Scale 9">
              <a:extLst>
                <a:ext uri="{FF2B5EF4-FFF2-40B4-BE49-F238E27FC236}">
                  <a16:creationId xmlns:a16="http://schemas.microsoft.com/office/drawing/2014/main" id="{42CF5083-49A5-45E8-9A2A-717ED3090C29}"/>
                </a:ext>
              </a:extLst>
            </xdr:cNvPr>
            <xdr:cNvGraphicFramePr/>
          </xdr:nvGraphicFramePr>
          <xdr:xfrm>
            <a:off x="0" y="0"/>
            <a:ext cx="0" cy="0"/>
          </xdr:xfrm>
          <a:graphic>
            <a:graphicData uri="http://schemas.microsoft.com/office/drawing/2010/slicer">
              <sle:slicer xmlns:sle="http://schemas.microsoft.com/office/drawing/2010/slicer" name="Grade Scale 9"/>
            </a:graphicData>
          </a:graphic>
        </xdr:graphicFrame>
      </mc:Choice>
      <mc:Fallback xmlns="">
        <xdr:sp macro="" textlink="">
          <xdr:nvSpPr>
            <xdr:cNvPr id="0" name=""/>
            <xdr:cNvSpPr>
              <a:spLocks noTextEdit="1"/>
            </xdr:cNvSpPr>
          </xdr:nvSpPr>
          <xdr:spPr>
            <a:xfrm>
              <a:off x="18449755" y="17974221"/>
              <a:ext cx="1829052"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0275286" y="17974221"/>
    <xdr:ext cx="1840258" cy="2524125"/>
    <mc:AlternateContent xmlns:mc="http://schemas.openxmlformats.org/markup-compatibility/2006" xmlns:sle15="http://schemas.microsoft.com/office/drawing/2012/slicer">
      <mc:Choice Requires="sle15">
        <xdr:graphicFrame macro="">
          <xdr:nvGraphicFramePr>
            <xdr:cNvPr id="18" name="Grade Point 12">
              <a:extLst>
                <a:ext uri="{FF2B5EF4-FFF2-40B4-BE49-F238E27FC236}">
                  <a16:creationId xmlns:a16="http://schemas.microsoft.com/office/drawing/2014/main" id="{29750465-DCC9-485D-B152-CCC9A568BE34}"/>
                </a:ext>
              </a:extLst>
            </xdr:cNvPr>
            <xdr:cNvGraphicFramePr/>
          </xdr:nvGraphicFramePr>
          <xdr:xfrm>
            <a:off x="0" y="0"/>
            <a:ext cx="0" cy="0"/>
          </xdr:xfrm>
          <a:graphic>
            <a:graphicData uri="http://schemas.microsoft.com/office/drawing/2010/slicer">
              <sle:slicer xmlns:sle="http://schemas.microsoft.com/office/drawing/2010/slicer" name="Grade Point 12"/>
            </a:graphicData>
          </a:graphic>
        </xdr:graphicFrame>
      </mc:Choice>
      <mc:Fallback xmlns="">
        <xdr:sp macro="" textlink="">
          <xdr:nvSpPr>
            <xdr:cNvPr id="0" name=""/>
            <xdr:cNvSpPr>
              <a:spLocks noTextEdit="1"/>
            </xdr:cNvSpPr>
          </xdr:nvSpPr>
          <xdr:spPr>
            <a:xfrm>
              <a:off x="20275286" y="17974221"/>
              <a:ext cx="184025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9261205" y="27223141"/>
    <xdr:ext cx="1832511" cy="2524125"/>
    <mc:AlternateContent xmlns:mc="http://schemas.openxmlformats.org/markup-compatibility/2006" xmlns:sle15="http://schemas.microsoft.com/office/drawing/2012/slicer">
      <mc:Choice Requires="sle15">
        <xdr:graphicFrame macro="">
          <xdr:nvGraphicFramePr>
            <xdr:cNvPr id="26" name="Roll No 15">
              <a:extLst>
                <a:ext uri="{FF2B5EF4-FFF2-40B4-BE49-F238E27FC236}">
                  <a16:creationId xmlns:a16="http://schemas.microsoft.com/office/drawing/2014/main" id="{9EA11F28-D0E6-4EB1-BAEB-23F613A482BC}"/>
                </a:ext>
              </a:extLst>
            </xdr:cNvPr>
            <xdr:cNvGraphicFramePr/>
          </xdr:nvGraphicFramePr>
          <xdr:xfrm>
            <a:off x="0" y="0"/>
            <a:ext cx="0" cy="0"/>
          </xdr:xfrm>
          <a:graphic>
            <a:graphicData uri="http://schemas.microsoft.com/office/drawing/2010/slicer">
              <sle:slicer xmlns:sle="http://schemas.microsoft.com/office/drawing/2010/slicer" name="Roll No 15"/>
            </a:graphicData>
          </a:graphic>
        </xdr:graphicFrame>
      </mc:Choice>
      <mc:Fallback xmlns="">
        <xdr:sp macro="" textlink="">
          <xdr:nvSpPr>
            <xdr:cNvPr id="0" name=""/>
            <xdr:cNvSpPr>
              <a:spLocks noTextEdit="1"/>
            </xdr:cNvSpPr>
          </xdr:nvSpPr>
          <xdr:spPr>
            <a:xfrm>
              <a:off x="9261205" y="27223141"/>
              <a:ext cx="183251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1094849" y="27223141"/>
    <xdr:ext cx="1824151" cy="2524125"/>
    <mc:AlternateContent xmlns:mc="http://schemas.openxmlformats.org/markup-compatibility/2006" xmlns:sle15="http://schemas.microsoft.com/office/drawing/2012/slicer">
      <mc:Choice Requires="sle15">
        <xdr:graphicFrame macro="">
          <xdr:nvGraphicFramePr>
            <xdr:cNvPr id="27" name="Round of Average 11">
              <a:extLst>
                <a:ext uri="{FF2B5EF4-FFF2-40B4-BE49-F238E27FC236}">
                  <a16:creationId xmlns:a16="http://schemas.microsoft.com/office/drawing/2014/main" id="{99D376AB-5C41-4D3F-9219-EF00E515D1B5}"/>
                </a:ext>
              </a:extLst>
            </xdr:cNvPr>
            <xdr:cNvGraphicFramePr/>
          </xdr:nvGraphicFramePr>
          <xdr:xfrm>
            <a:off x="0" y="0"/>
            <a:ext cx="0" cy="0"/>
          </xdr:xfrm>
          <a:graphic>
            <a:graphicData uri="http://schemas.microsoft.com/office/drawing/2010/slicer">
              <sle:slicer xmlns:sle="http://schemas.microsoft.com/office/drawing/2010/slicer" name="Round of Average 11"/>
            </a:graphicData>
          </a:graphic>
        </xdr:graphicFrame>
      </mc:Choice>
      <mc:Fallback xmlns="">
        <xdr:sp macro="" textlink="">
          <xdr:nvSpPr>
            <xdr:cNvPr id="0" name=""/>
            <xdr:cNvSpPr>
              <a:spLocks noTextEdit="1"/>
            </xdr:cNvSpPr>
          </xdr:nvSpPr>
          <xdr:spPr>
            <a:xfrm>
              <a:off x="11094849" y="27223141"/>
              <a:ext cx="1824151"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2915918" y="27223141"/>
    <xdr:ext cx="1845649" cy="2524125"/>
    <mc:AlternateContent xmlns:mc="http://schemas.openxmlformats.org/markup-compatibility/2006" xmlns:sle15="http://schemas.microsoft.com/office/drawing/2012/slicer">
      <mc:Choice Requires="sle15">
        <xdr:graphicFrame macro="">
          <xdr:nvGraphicFramePr>
            <xdr:cNvPr id="28" name="Assignment 2">
              <a:extLst>
                <a:ext uri="{FF2B5EF4-FFF2-40B4-BE49-F238E27FC236}">
                  <a16:creationId xmlns:a16="http://schemas.microsoft.com/office/drawing/2014/main" id="{AA8D8CAB-F73A-46AD-916B-B967103BE38B}"/>
                </a:ext>
              </a:extLst>
            </xdr:cNvPr>
            <xdr:cNvGraphicFramePr/>
          </xdr:nvGraphicFramePr>
          <xdr:xfrm>
            <a:off x="0" y="0"/>
            <a:ext cx="0" cy="0"/>
          </xdr:xfrm>
          <a:graphic>
            <a:graphicData uri="http://schemas.microsoft.com/office/drawing/2010/slicer">
              <sle:slicer xmlns:sle="http://schemas.microsoft.com/office/drawing/2010/slicer" name="Assignment 2"/>
            </a:graphicData>
          </a:graphic>
        </xdr:graphicFrame>
      </mc:Choice>
      <mc:Fallback xmlns="">
        <xdr:sp macro="" textlink="">
          <xdr:nvSpPr>
            <xdr:cNvPr id="0" name=""/>
            <xdr:cNvSpPr>
              <a:spLocks noTextEdit="1"/>
            </xdr:cNvSpPr>
          </xdr:nvSpPr>
          <xdr:spPr>
            <a:xfrm>
              <a:off x="12915918" y="27223141"/>
              <a:ext cx="1845649"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4760885" y="27223141"/>
    <xdr:ext cx="1836855" cy="2524125"/>
    <mc:AlternateContent xmlns:mc="http://schemas.openxmlformats.org/markup-compatibility/2006" xmlns:sle15="http://schemas.microsoft.com/office/drawing/2012/slicer">
      <mc:Choice Requires="sle15">
        <xdr:graphicFrame macro="">
          <xdr:nvGraphicFramePr>
            <xdr:cNvPr id="29" name="Final 11">
              <a:extLst>
                <a:ext uri="{FF2B5EF4-FFF2-40B4-BE49-F238E27FC236}">
                  <a16:creationId xmlns:a16="http://schemas.microsoft.com/office/drawing/2014/main" id="{3BF8E033-1339-4200-9D2F-A43CB7DFC80D}"/>
                </a:ext>
              </a:extLst>
            </xdr:cNvPr>
            <xdr:cNvGraphicFramePr/>
          </xdr:nvGraphicFramePr>
          <xdr:xfrm>
            <a:off x="0" y="0"/>
            <a:ext cx="0" cy="0"/>
          </xdr:xfrm>
          <a:graphic>
            <a:graphicData uri="http://schemas.microsoft.com/office/drawing/2010/slicer">
              <sle:slicer xmlns:sle="http://schemas.microsoft.com/office/drawing/2010/slicer" name="Final 11"/>
            </a:graphicData>
          </a:graphic>
        </xdr:graphicFrame>
      </mc:Choice>
      <mc:Fallback xmlns="">
        <xdr:sp macro="" textlink="">
          <xdr:nvSpPr>
            <xdr:cNvPr id="0" name=""/>
            <xdr:cNvSpPr>
              <a:spLocks noTextEdit="1"/>
            </xdr:cNvSpPr>
          </xdr:nvSpPr>
          <xdr:spPr>
            <a:xfrm>
              <a:off x="14760885" y="27223141"/>
              <a:ext cx="1836855"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6594233" y="27223141"/>
    <xdr:ext cx="1832487" cy="2524125"/>
    <mc:AlternateContent xmlns:mc="http://schemas.openxmlformats.org/markup-compatibility/2006" xmlns:sle15="http://schemas.microsoft.com/office/drawing/2012/slicer">
      <mc:Choice Requires="sle15">
        <xdr:graphicFrame macro="">
          <xdr:nvGraphicFramePr>
            <xdr:cNvPr id="30" name="Total 11">
              <a:extLst>
                <a:ext uri="{FF2B5EF4-FFF2-40B4-BE49-F238E27FC236}">
                  <a16:creationId xmlns:a16="http://schemas.microsoft.com/office/drawing/2014/main" id="{3AF2F2A6-03C0-495B-9EF0-0F44E6EAFDA2}"/>
                </a:ext>
              </a:extLst>
            </xdr:cNvPr>
            <xdr:cNvGraphicFramePr/>
          </xdr:nvGraphicFramePr>
          <xdr:xfrm>
            <a:off x="0" y="0"/>
            <a:ext cx="0" cy="0"/>
          </xdr:xfrm>
          <a:graphic>
            <a:graphicData uri="http://schemas.microsoft.com/office/drawing/2010/slicer">
              <sle:slicer xmlns:sle="http://schemas.microsoft.com/office/drawing/2010/slicer" name="Total 11"/>
            </a:graphicData>
          </a:graphic>
        </xdr:graphicFrame>
      </mc:Choice>
      <mc:Fallback xmlns="">
        <xdr:sp macro="" textlink="">
          <xdr:nvSpPr>
            <xdr:cNvPr id="0" name=""/>
            <xdr:cNvSpPr>
              <a:spLocks noTextEdit="1"/>
            </xdr:cNvSpPr>
          </xdr:nvSpPr>
          <xdr:spPr>
            <a:xfrm>
              <a:off x="16594233" y="27223141"/>
              <a:ext cx="1832487"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18427431" y="27223141"/>
    <xdr:ext cx="1830418" cy="2524125"/>
    <mc:AlternateContent xmlns:mc="http://schemas.openxmlformats.org/markup-compatibility/2006" xmlns:sle15="http://schemas.microsoft.com/office/drawing/2012/slicer">
      <mc:Choice Requires="sle15">
        <xdr:graphicFrame macro="">
          <xdr:nvGraphicFramePr>
            <xdr:cNvPr id="31" name="Grade Scale 11">
              <a:extLst>
                <a:ext uri="{FF2B5EF4-FFF2-40B4-BE49-F238E27FC236}">
                  <a16:creationId xmlns:a16="http://schemas.microsoft.com/office/drawing/2014/main" id="{0EBFB0C3-A507-45AA-9B6A-52374DFEBA9E}"/>
                </a:ext>
              </a:extLst>
            </xdr:cNvPr>
            <xdr:cNvGraphicFramePr/>
          </xdr:nvGraphicFramePr>
          <xdr:xfrm>
            <a:off x="0" y="0"/>
            <a:ext cx="0" cy="0"/>
          </xdr:xfrm>
          <a:graphic>
            <a:graphicData uri="http://schemas.microsoft.com/office/drawing/2010/slicer">
              <sle:slicer xmlns:sle="http://schemas.microsoft.com/office/drawing/2010/slicer" name="Grade Scale 11"/>
            </a:graphicData>
          </a:graphic>
        </xdr:graphicFrame>
      </mc:Choice>
      <mc:Fallback xmlns="">
        <xdr:sp macro="" textlink="">
          <xdr:nvSpPr>
            <xdr:cNvPr id="0" name=""/>
            <xdr:cNvSpPr>
              <a:spLocks noTextEdit="1"/>
            </xdr:cNvSpPr>
          </xdr:nvSpPr>
          <xdr:spPr>
            <a:xfrm>
              <a:off x="18427431" y="27223141"/>
              <a:ext cx="1830418"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absoluteAnchor>
    <xdr:pos x="20253965" y="27223141"/>
    <xdr:ext cx="1835160" cy="2524125"/>
    <mc:AlternateContent xmlns:mc="http://schemas.openxmlformats.org/markup-compatibility/2006" xmlns:sle15="http://schemas.microsoft.com/office/drawing/2012/slicer">
      <mc:Choice Requires="sle15">
        <xdr:graphicFrame macro="">
          <xdr:nvGraphicFramePr>
            <xdr:cNvPr id="32" name="Grade Point 14">
              <a:extLst>
                <a:ext uri="{FF2B5EF4-FFF2-40B4-BE49-F238E27FC236}">
                  <a16:creationId xmlns:a16="http://schemas.microsoft.com/office/drawing/2014/main" id="{43A9C17D-E69E-4094-B15F-A37B8AC0F5EE}"/>
                </a:ext>
              </a:extLst>
            </xdr:cNvPr>
            <xdr:cNvGraphicFramePr/>
          </xdr:nvGraphicFramePr>
          <xdr:xfrm>
            <a:off x="0" y="0"/>
            <a:ext cx="0" cy="0"/>
          </xdr:xfrm>
          <a:graphic>
            <a:graphicData uri="http://schemas.microsoft.com/office/drawing/2010/slicer">
              <sle:slicer xmlns:sle="http://schemas.microsoft.com/office/drawing/2010/slicer" name="Grade Point 14"/>
            </a:graphicData>
          </a:graphic>
        </xdr:graphicFrame>
      </mc:Choice>
      <mc:Fallback xmlns="">
        <xdr:sp macro="" textlink="">
          <xdr:nvSpPr>
            <xdr:cNvPr id="0" name=""/>
            <xdr:cNvSpPr>
              <a:spLocks noTextEdit="1"/>
            </xdr:cNvSpPr>
          </xdr:nvSpPr>
          <xdr:spPr>
            <a:xfrm>
              <a:off x="20253965" y="27223141"/>
              <a:ext cx="1835160" cy="2524125"/>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absoluteAnchor>
</xdr:wsDr>
</file>

<file path=xl/drawings/drawing9.xml><?xml version="1.0" encoding="utf-8"?>
<xdr:wsDr xmlns:xdr="http://schemas.openxmlformats.org/drawingml/2006/spreadsheetDrawing" xmlns:a="http://schemas.openxmlformats.org/drawingml/2006/main">
  <xdr:twoCellAnchor editAs="absolute">
    <xdr:from>
      <xdr:col>7</xdr:col>
      <xdr:colOff>306939</xdr:colOff>
      <xdr:row>6</xdr:row>
      <xdr:rowOff>182707</xdr:rowOff>
    </xdr:from>
    <xdr:to>
      <xdr:col>10</xdr:col>
      <xdr:colOff>317330</xdr:colOff>
      <xdr:row>19</xdr:row>
      <xdr:rowOff>19050</xdr:rowOff>
    </xdr:to>
    <mc:AlternateContent xmlns:mc="http://schemas.openxmlformats.org/markup-compatibility/2006" xmlns:sle15="http://schemas.microsoft.com/office/drawing/2012/slicer">
      <mc:Choice Requires="sle15">
        <xdr:graphicFrame macro="">
          <xdr:nvGraphicFramePr>
            <xdr:cNvPr id="6" name="Employee ID">
              <a:extLst>
                <a:ext uri="{FF2B5EF4-FFF2-40B4-BE49-F238E27FC236}">
                  <a16:creationId xmlns:a16="http://schemas.microsoft.com/office/drawing/2014/main" id="{9C01C111-CF31-4573-B648-C709A121456C}"/>
                </a:ext>
              </a:extLst>
            </xdr:cNvPr>
            <xdr:cNvGraphicFramePr/>
          </xdr:nvGraphicFramePr>
          <xdr:xfrm>
            <a:off x="0" y="0"/>
            <a:ext cx="0" cy="0"/>
          </xdr:xfrm>
          <a:graphic>
            <a:graphicData uri="http://schemas.microsoft.com/office/drawing/2010/slicer">
              <sle:slicer xmlns:sle="http://schemas.microsoft.com/office/drawing/2010/slicer" name="Employee ID"/>
            </a:graphicData>
          </a:graphic>
        </xdr:graphicFrame>
      </mc:Choice>
      <mc:Fallback xmlns="">
        <xdr:sp macro="" textlink="">
          <xdr:nvSpPr>
            <xdr:cNvPr id="0" name=""/>
            <xdr:cNvSpPr>
              <a:spLocks noTextEdit="1"/>
            </xdr:cNvSpPr>
          </xdr:nvSpPr>
          <xdr:spPr>
            <a:xfrm>
              <a:off x="9800359" y="1325707"/>
              <a:ext cx="1828800" cy="2312843"/>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twoCellAnchor editAs="absolute">
    <xdr:from>
      <xdr:col>10</xdr:col>
      <xdr:colOff>316317</xdr:colOff>
      <xdr:row>6</xdr:row>
      <xdr:rowOff>182707</xdr:rowOff>
    </xdr:from>
    <xdr:to>
      <xdr:col>13</xdr:col>
      <xdr:colOff>156883</xdr:colOff>
      <xdr:row>19</xdr:row>
      <xdr:rowOff>19050</xdr:rowOff>
    </xdr:to>
    <mc:AlternateContent xmlns:mc="http://schemas.openxmlformats.org/markup-compatibility/2006" xmlns:sle15="http://schemas.microsoft.com/office/drawing/2012/slicer">
      <mc:Choice Requires="sle15">
        <xdr:graphicFrame macro="">
          <xdr:nvGraphicFramePr>
            <xdr:cNvPr id="7" name="Department 1">
              <a:extLst>
                <a:ext uri="{FF2B5EF4-FFF2-40B4-BE49-F238E27FC236}">
                  <a16:creationId xmlns:a16="http://schemas.microsoft.com/office/drawing/2014/main" id="{7580F71E-0086-49CF-85B0-A6984FBE4DE1}"/>
                </a:ext>
              </a:extLst>
            </xdr:cNvPr>
            <xdr:cNvGraphicFramePr/>
          </xdr:nvGraphicFramePr>
          <xdr:xfrm>
            <a:off x="0" y="0"/>
            <a:ext cx="0" cy="0"/>
          </xdr:xfrm>
          <a:graphic>
            <a:graphicData uri="http://schemas.microsoft.com/office/drawing/2010/slicer">
              <sle:slicer xmlns:sle="http://schemas.microsoft.com/office/drawing/2010/slicer" name="Department 1"/>
            </a:graphicData>
          </a:graphic>
        </xdr:graphicFrame>
      </mc:Choice>
      <mc:Fallback xmlns="">
        <xdr:sp macro="" textlink="">
          <xdr:nvSpPr>
            <xdr:cNvPr id="0" name=""/>
            <xdr:cNvSpPr>
              <a:spLocks noTextEdit="1"/>
            </xdr:cNvSpPr>
          </xdr:nvSpPr>
          <xdr:spPr>
            <a:xfrm>
              <a:off x="11628146" y="1325707"/>
              <a:ext cx="1472912" cy="2312843"/>
            </a:xfrm>
            <a:prstGeom prst="rect">
              <a:avLst/>
            </a:prstGeom>
            <a:solidFill>
              <a:prstClr val="white"/>
            </a:solidFill>
            <a:ln w="1">
              <a:solidFill>
                <a:prstClr val="green"/>
              </a:solidFill>
            </a:ln>
          </xdr:spPr>
          <xdr:txBody>
            <a:bodyPr vertOverflow="clip" horzOverflow="clip"/>
            <a:lstStyle/>
            <a:p>
              <a:r>
                <a:rPr lang="en-US" sz="1100"/>
                <a:t>This shape represents a table slicer. Table slicers are not supported in this version of Excel.
If the shape was modified in an earlier version of Excel, or if the workbook was saved in Excel 2007 or earlier, the slicer can't be used.</a:t>
              </a:r>
            </a:p>
          </xdr:txBody>
        </xdr:sp>
      </mc:Fallback>
    </mc:AlternateContent>
    <xdr:clientData/>
  </xdr:twoCellAnchor>
</xdr:wsDr>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_ID1" xr10:uid="{E70CDB22-F807-4EB0-9EAB-07FCAC012EB3}" sourceName="Employee ID">
  <extLst>
    <x:ext xmlns:x15="http://schemas.microsoft.com/office/spreadsheetml/2010/11/main" uri="{2F2917AC-EB37-4324-AD4E-5DD8C200BD13}">
      <x15:tableSlicerCache tableId="3" column="1"/>
    </x:ext>
  </extLst>
</slicerCacheDefinition>
</file>

<file path=xl/slicerCaches/slicerCache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_Salary1" xr10:uid="{1D76BF52-8F91-4676-8D59-E8D566153FA1}" sourceName="Gross Salary">
  <extLst>
    <x:ext xmlns:x15="http://schemas.microsoft.com/office/spreadsheetml/2010/11/main" uri="{2F2917AC-EB37-4324-AD4E-5DD8C200BD13}">
      <x15:tableSlicerCache tableId="5" column="3"/>
    </x:ext>
  </extLst>
</slicerCacheDefinition>
</file>

<file path=xl/slicerCaches/slicerCache10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12" xr10:uid="{D8461521-22AE-447D-ABC6-DB39D4D0A6C1}" sourceName="Grade Point">
  <extLst>
    <x:ext xmlns:x15="http://schemas.microsoft.com/office/spreadsheetml/2010/11/main" uri="{2F2917AC-EB37-4324-AD4E-5DD8C200BD13}">
      <x15:tableSlicerCache tableId="27" column="19"/>
    </x:ext>
  </extLst>
</slicerCacheDefinition>
</file>

<file path=xl/slicerCaches/slicerCache10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112" xr10:uid="{90FA2DAC-4F9E-4D37-842A-92CEF1DEB238}" sourceName="Roll No">
  <extLst>
    <x:ext xmlns:x15="http://schemas.microsoft.com/office/spreadsheetml/2010/11/main" uri="{2F2917AC-EB37-4324-AD4E-5DD8C200BD13}">
      <x15:tableSlicerCache tableId="28" column="1"/>
    </x:ext>
  </extLst>
</slicerCacheDefinition>
</file>

<file path=xl/slicerCaches/slicerCache10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112" xr10:uid="{424E568A-AD68-4E90-A6D7-6B0C17324365}" sourceName="Lab Perfomance">
  <extLst>
    <x:ext xmlns:x15="http://schemas.microsoft.com/office/spreadsheetml/2010/11/main" uri="{2F2917AC-EB37-4324-AD4E-5DD8C200BD13}">
      <x15:tableSlicerCache tableId="28" column="7"/>
    </x:ext>
  </extLst>
</slicerCacheDefinition>
</file>

<file path=xl/slicerCaches/slicerCache10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112" xr10:uid="{8E8FC8F0-A96D-460F-A591-FCC48678EB21}" sourceName="Assignment">
  <extLst>
    <x:ext xmlns:x15="http://schemas.microsoft.com/office/spreadsheetml/2010/11/main" uri="{2F2917AC-EB37-4324-AD4E-5DD8C200BD13}">
      <x15:tableSlicerCache tableId="28" column="13"/>
    </x:ext>
  </extLst>
</slicerCacheDefinition>
</file>

<file path=xl/slicerCaches/slicerCache10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112" xr10:uid="{CBAB6962-AAB4-49E2-8B31-769876FADB30}" sourceName="Final">
  <extLst>
    <x:ext xmlns:x15="http://schemas.microsoft.com/office/spreadsheetml/2010/11/main" uri="{2F2917AC-EB37-4324-AD4E-5DD8C200BD13}">
      <x15:tableSlicerCache tableId="28" column="14"/>
    </x:ext>
  </extLst>
</slicerCacheDefinition>
</file>

<file path=xl/slicerCaches/slicerCache10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112" xr10:uid="{23DD4D5B-A453-4673-98B7-D7EEA2145A71}" sourceName="Total">
  <extLst>
    <x:ext xmlns:x15="http://schemas.microsoft.com/office/spreadsheetml/2010/11/main" uri="{2F2917AC-EB37-4324-AD4E-5DD8C200BD13}">
      <x15:tableSlicerCache tableId="28" column="17"/>
    </x:ext>
  </extLst>
</slicerCacheDefinition>
</file>

<file path=xl/slicerCaches/slicerCache10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112" xr10:uid="{641BDC18-5CCC-4BD6-B770-FECD52CA4E80}" sourceName="Grade Scale">
  <extLst>
    <x:ext xmlns:x15="http://schemas.microsoft.com/office/spreadsheetml/2010/11/main" uri="{2F2917AC-EB37-4324-AD4E-5DD8C200BD13}">
      <x15:tableSlicerCache tableId="28" column="18"/>
    </x:ext>
  </extLst>
</slicerCacheDefinition>
</file>

<file path=xl/slicerCaches/slicerCache10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112" xr10:uid="{084BA1BF-504E-4724-8B3F-4EEC8B0B566F}" sourceName="Grade Point">
  <extLst>
    <x:ext xmlns:x15="http://schemas.microsoft.com/office/spreadsheetml/2010/11/main" uri="{2F2917AC-EB37-4324-AD4E-5DD8C200BD13}">
      <x15:tableSlicerCache tableId="28" column="19"/>
    </x:ext>
  </extLst>
</slicerCacheDefinition>
</file>

<file path=xl/slicerCaches/slicerCache10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1111" xr10:uid="{93BE71AB-ADF3-440B-B9F4-01251A3056EA}" sourceName="Roll No">
  <extLst>
    <x:ext xmlns:x15="http://schemas.microsoft.com/office/spreadsheetml/2010/11/main" uri="{2F2917AC-EB37-4324-AD4E-5DD8C200BD13}">
      <x15:tableSlicerCache tableId="29" column="1"/>
    </x:ext>
  </extLst>
</slicerCacheDefinition>
</file>

<file path=xl/slicerCaches/slicerCache10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1111" xr10:uid="{6D44C133-AFE9-46DF-B874-C4A8BB3F8B4A}" sourceName="Lab Perfomance">
  <extLst>
    <x:ext xmlns:x15="http://schemas.microsoft.com/office/spreadsheetml/2010/11/main" uri="{2F2917AC-EB37-4324-AD4E-5DD8C200BD13}">
      <x15:tableSlicerCache tableId="29" column="7"/>
    </x:ext>
  </extLst>
</slicerCacheDefinition>
</file>

<file path=xl/slicerCaches/slicerCache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et_Salary" xr10:uid="{FB6D03CB-367C-4AB5-8C93-DA4C8810AC57}" sourceName="Net Salary">
  <extLst>
    <x:ext xmlns:x15="http://schemas.microsoft.com/office/spreadsheetml/2010/11/main" uri="{2F2917AC-EB37-4324-AD4E-5DD8C200BD13}">
      <x15:tableSlicerCache tableId="5" column="10"/>
    </x:ext>
  </extLst>
</slicerCacheDefinition>
</file>

<file path=xl/slicerCaches/slicerCache11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1111" xr10:uid="{32712E3E-1398-4732-A83E-747352FB993C}" sourceName="Assignment">
  <extLst>
    <x:ext xmlns:x15="http://schemas.microsoft.com/office/spreadsheetml/2010/11/main" uri="{2F2917AC-EB37-4324-AD4E-5DD8C200BD13}">
      <x15:tableSlicerCache tableId="29" column="13"/>
    </x:ext>
  </extLst>
</slicerCacheDefinition>
</file>

<file path=xl/slicerCaches/slicerCache11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1111" xr10:uid="{63BFECF1-8563-402C-85F0-13968A6580E7}" sourceName="Final">
  <extLst>
    <x:ext xmlns:x15="http://schemas.microsoft.com/office/spreadsheetml/2010/11/main" uri="{2F2917AC-EB37-4324-AD4E-5DD8C200BD13}">
      <x15:tableSlicerCache tableId="29" column="14"/>
    </x:ext>
  </extLst>
</slicerCacheDefinition>
</file>

<file path=xl/slicerCaches/slicerCache1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1111" xr10:uid="{A71E8768-2DB1-4F0F-BE76-FC0B1EA170F3}" sourceName="Total">
  <extLst>
    <x:ext xmlns:x15="http://schemas.microsoft.com/office/spreadsheetml/2010/11/main" uri="{2F2917AC-EB37-4324-AD4E-5DD8C200BD13}">
      <x15:tableSlicerCache tableId="29" column="17"/>
    </x:ext>
  </extLst>
</slicerCacheDefinition>
</file>

<file path=xl/slicerCaches/slicerCache1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1111" xr10:uid="{705EDA25-E2A3-4090-A428-594FF8EDE6E4}" sourceName="Grade Scale">
  <extLst>
    <x:ext xmlns:x15="http://schemas.microsoft.com/office/spreadsheetml/2010/11/main" uri="{2F2917AC-EB37-4324-AD4E-5DD8C200BD13}">
      <x15:tableSlicerCache tableId="29" column="18"/>
    </x:ext>
  </extLst>
</slicerCacheDefinition>
</file>

<file path=xl/slicerCaches/slicerCache1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1111" xr10:uid="{E70EFFEE-1D14-4E70-AA8A-7DC7C64D1246}" sourceName="Grade Point">
  <extLst>
    <x:ext xmlns:x15="http://schemas.microsoft.com/office/spreadsheetml/2010/11/main" uri="{2F2917AC-EB37-4324-AD4E-5DD8C200BD13}">
      <x15:tableSlicerCache tableId="29" column="19"/>
    </x:ext>
  </extLst>
</slicerCacheDefinition>
</file>

<file path=xl/slicerCaches/slicerCache11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_Subject_CGPA11" xr10:uid="{B82D4993-EB68-43F6-BA17-4DFE997C49C2}" sourceName="3rd Semester (SGPA)">
  <extLst>
    <x:ext xmlns:x15="http://schemas.microsoft.com/office/spreadsheetml/2010/11/main" uri="{2F2917AC-EB37-4324-AD4E-5DD8C200BD13}">
      <x15:tableSlicerCache tableId="25" column="15"/>
    </x:ext>
  </extLst>
</slicerCacheDefinition>
</file>

<file path=xl/slicerCaches/slicerCache11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1111" xr10:uid="{6651CE47-DD54-4506-AD68-54F17CAAA96F}" sourceName="Roll No">
  <extLst>
    <x:ext xmlns:x15="http://schemas.microsoft.com/office/spreadsheetml/2010/11/main" uri="{2F2917AC-EB37-4324-AD4E-5DD8C200BD13}">
      <x15:tableSlicerCache tableId="31" column="1"/>
    </x:ext>
  </extLst>
</slicerCacheDefinition>
</file>

<file path=xl/slicerCaches/slicerCache11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2111" xr10:uid="{665AA776-C88E-4006-B99E-8B8EF9D4C182}" sourceName="Roll No">
  <extLst>
    <x:ext xmlns:x15="http://schemas.microsoft.com/office/spreadsheetml/2010/11/main" uri="{2F2917AC-EB37-4324-AD4E-5DD8C200BD13}">
      <x15:tableSlicerCache tableId="30" column="1"/>
    </x:ext>
  </extLst>
</slicerCacheDefinition>
</file>

<file path=xl/slicerCaches/slicerCache11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411" xr10:uid="{91195C4F-37FF-4BFB-8595-62A9D26B09A0}" sourceName="Round of Average">
  <extLst>
    <x:ext xmlns:x15="http://schemas.microsoft.com/office/spreadsheetml/2010/11/main" uri="{2F2917AC-EB37-4324-AD4E-5DD8C200BD13}">
      <x15:tableSlicerCache tableId="30" column="7"/>
    </x:ext>
  </extLst>
</slicerCacheDefinition>
</file>

<file path=xl/slicerCaches/slicerCache11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dterm311" xr10:uid="{8283FD31-F135-4108-9947-4E53AAB8D4EF}" sourceName="Midterm">
  <extLst>
    <x:ext xmlns:x15="http://schemas.microsoft.com/office/spreadsheetml/2010/11/main" uri="{2F2917AC-EB37-4324-AD4E-5DD8C200BD13}">
      <x15:tableSlicerCache tableId="30" column="13"/>
    </x:ext>
  </extLst>
</slicerCacheDefinition>
</file>

<file path=xl/slicerCaches/slicerCache1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1" xr10:uid="{DA59054C-8630-459C-A330-C690B23BC039}" sourceName="Roll No">
  <extLst>
    <x:ext xmlns:x15="http://schemas.microsoft.com/office/spreadsheetml/2010/11/main" uri="{2F2917AC-EB37-4324-AD4E-5DD8C200BD13}">
      <x15:tableSlicerCache tableId="7" column="1"/>
    </x:ext>
  </extLst>
</slicerCacheDefinition>
</file>

<file path=xl/slicerCaches/slicerCache12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411" xr10:uid="{AB63BA41-F9A0-4112-86ED-8AED62A0FA76}" sourceName="Final">
  <extLst>
    <x:ext xmlns:x15="http://schemas.microsoft.com/office/spreadsheetml/2010/11/main" uri="{2F2917AC-EB37-4324-AD4E-5DD8C200BD13}">
      <x15:tableSlicerCache tableId="30" column="14"/>
    </x:ext>
  </extLst>
</slicerCacheDefinition>
</file>

<file path=xl/slicerCaches/slicerCache12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411" xr10:uid="{3835A2D5-C35F-458E-A326-A84CDEFDB461}" sourceName="Total">
  <extLst>
    <x:ext xmlns:x15="http://schemas.microsoft.com/office/spreadsheetml/2010/11/main" uri="{2F2917AC-EB37-4324-AD4E-5DD8C200BD13}">
      <x15:tableSlicerCache tableId="30" column="17"/>
    </x:ext>
  </extLst>
</slicerCacheDefinition>
</file>

<file path=xl/slicerCaches/slicerCache12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411" xr10:uid="{739990A5-BE83-4578-9118-B0674276D6F4}" sourceName="Grade Scale">
  <extLst>
    <x:ext xmlns:x15="http://schemas.microsoft.com/office/spreadsheetml/2010/11/main" uri="{2F2917AC-EB37-4324-AD4E-5DD8C200BD13}">
      <x15:tableSlicerCache tableId="30" column="18"/>
    </x:ext>
  </extLst>
</slicerCacheDefinition>
</file>

<file path=xl/slicerCaches/slicerCache12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1111" xr10:uid="{8C1E1D73-A54C-4A76-BBF4-68FF10AF12A9}" sourceName="Grade Point">
  <extLst>
    <x:ext xmlns:x15="http://schemas.microsoft.com/office/spreadsheetml/2010/11/main" uri="{2F2917AC-EB37-4324-AD4E-5DD8C200BD13}">
      <x15:tableSlicerCache tableId="30" column="19"/>
    </x:ext>
  </extLst>
</slicerCacheDefinition>
</file>

<file path=xl/slicerCaches/slicerCache12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21" xr10:uid="{91C2B196-D8EF-496C-A274-E56297AFD18A}" sourceName="Roll No">
  <extLst>
    <x:ext xmlns:x15="http://schemas.microsoft.com/office/spreadsheetml/2010/11/main" uri="{2F2917AC-EB37-4324-AD4E-5DD8C200BD13}">
      <x15:tableSlicerCache tableId="32" column="1"/>
    </x:ext>
  </extLst>
</slicerCacheDefinition>
</file>

<file path=xl/slicerCaches/slicerCache12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21" xr10:uid="{33FC61D6-8738-4350-84E0-4BE29369A9E4}" sourceName="Round of Average">
  <extLst>
    <x:ext xmlns:x15="http://schemas.microsoft.com/office/spreadsheetml/2010/11/main" uri="{2F2917AC-EB37-4324-AD4E-5DD8C200BD13}">
      <x15:tableSlicerCache tableId="32" column="7"/>
    </x:ext>
  </extLst>
</slicerCacheDefinition>
</file>

<file path=xl/slicerCaches/slicerCache12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21" xr10:uid="{1C191E62-C01C-47EA-A900-9C6DF3E88508}" sourceName="Assignment">
  <extLst>
    <x:ext xmlns:x15="http://schemas.microsoft.com/office/spreadsheetml/2010/11/main" uri="{2F2917AC-EB37-4324-AD4E-5DD8C200BD13}">
      <x15:tableSlicerCache tableId="32" column="13"/>
    </x:ext>
  </extLst>
</slicerCacheDefinition>
</file>

<file path=xl/slicerCaches/slicerCache12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21" xr10:uid="{43C6F513-417C-422E-BF16-9D1A8490AD32}" sourceName="Final">
  <extLst>
    <x:ext xmlns:x15="http://schemas.microsoft.com/office/spreadsheetml/2010/11/main" uri="{2F2917AC-EB37-4324-AD4E-5DD8C200BD13}">
      <x15:tableSlicerCache tableId="32" column="14"/>
    </x:ext>
  </extLst>
</slicerCacheDefinition>
</file>

<file path=xl/slicerCaches/slicerCache12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21" xr10:uid="{2544EEC0-D83A-483F-A924-3956D275C916}" sourceName="Total">
  <extLst>
    <x:ext xmlns:x15="http://schemas.microsoft.com/office/spreadsheetml/2010/11/main" uri="{2F2917AC-EB37-4324-AD4E-5DD8C200BD13}">
      <x15:tableSlicerCache tableId="32" column="17"/>
    </x:ext>
  </extLst>
</slicerCacheDefinition>
</file>

<file path=xl/slicerCaches/slicerCache12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21" xr10:uid="{3B380213-E326-4B37-A3DC-AF1EC25BF49D}" sourceName="Grade Scale">
  <extLst>
    <x:ext xmlns:x15="http://schemas.microsoft.com/office/spreadsheetml/2010/11/main" uri="{2F2917AC-EB37-4324-AD4E-5DD8C200BD13}">
      <x15:tableSlicerCache tableId="32" column="18"/>
    </x:ext>
  </extLst>
</slicerCacheDefinition>
</file>

<file path=xl/slicerCaches/slicerCache1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_Subject_CGPA" xr10:uid="{86F077C2-8EB3-4EA8-BFDE-592F3BE4FD8B}" sourceName="1st Semester (SGPA)">
  <extLst>
    <x:ext xmlns:x15="http://schemas.microsoft.com/office/spreadsheetml/2010/11/main" uri="{2F2917AC-EB37-4324-AD4E-5DD8C200BD13}">
      <x15:tableSlicerCache tableId="7" column="13"/>
    </x:ext>
  </extLst>
</slicerCacheDefinition>
</file>

<file path=xl/slicerCaches/slicerCache13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21" xr10:uid="{81ADD54B-2485-44A0-9DF0-031E84BE2772}" sourceName="Grade Point">
  <extLst>
    <x:ext xmlns:x15="http://schemas.microsoft.com/office/spreadsheetml/2010/11/main" uri="{2F2917AC-EB37-4324-AD4E-5DD8C200BD13}">
      <x15:tableSlicerCache tableId="32" column="19"/>
    </x:ext>
  </extLst>
</slicerCacheDefinition>
</file>

<file path=xl/slicerCaches/slicerCache13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121" xr10:uid="{D4D60880-C21F-4365-A6B5-D31945AE1E48}" sourceName="Roll No">
  <extLst>
    <x:ext xmlns:x15="http://schemas.microsoft.com/office/spreadsheetml/2010/11/main" uri="{2F2917AC-EB37-4324-AD4E-5DD8C200BD13}">
      <x15:tableSlicerCache tableId="33" column="1"/>
    </x:ext>
  </extLst>
</slicerCacheDefinition>
</file>

<file path=xl/slicerCaches/slicerCache13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121" xr10:uid="{A304167D-45D6-4EA7-89B6-699E416814E8}" sourceName="Round of Average">
  <extLst>
    <x:ext xmlns:x15="http://schemas.microsoft.com/office/spreadsheetml/2010/11/main" uri="{2F2917AC-EB37-4324-AD4E-5DD8C200BD13}">
      <x15:tableSlicerCache tableId="33" column="7"/>
    </x:ext>
  </extLst>
</slicerCacheDefinition>
</file>

<file path=xl/slicerCaches/slicerCache13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121" xr10:uid="{AF3DCF0B-F649-49C4-9869-0FF1EA860174}" sourceName="Assignment">
  <extLst>
    <x:ext xmlns:x15="http://schemas.microsoft.com/office/spreadsheetml/2010/11/main" uri="{2F2917AC-EB37-4324-AD4E-5DD8C200BD13}">
      <x15:tableSlicerCache tableId="33" column="13"/>
    </x:ext>
  </extLst>
</slicerCacheDefinition>
</file>

<file path=xl/slicerCaches/slicerCache13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121" xr10:uid="{3F0E2DDD-4A81-4B30-BCAC-A468633FE661}" sourceName="Final">
  <extLst>
    <x:ext xmlns:x15="http://schemas.microsoft.com/office/spreadsheetml/2010/11/main" uri="{2F2917AC-EB37-4324-AD4E-5DD8C200BD13}">
      <x15:tableSlicerCache tableId="33" column="14"/>
    </x:ext>
  </extLst>
</slicerCacheDefinition>
</file>

<file path=xl/slicerCaches/slicerCache13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121" xr10:uid="{0A748EE6-DA22-4393-92EE-55BC56CB1831}" sourceName="Total">
  <extLst>
    <x:ext xmlns:x15="http://schemas.microsoft.com/office/spreadsheetml/2010/11/main" uri="{2F2917AC-EB37-4324-AD4E-5DD8C200BD13}">
      <x15:tableSlicerCache tableId="33" column="17"/>
    </x:ext>
  </extLst>
</slicerCacheDefinition>
</file>

<file path=xl/slicerCaches/slicerCache13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121" xr10:uid="{89160A09-A458-48FA-B112-5F80E94AD465}" sourceName="Grade Scale">
  <extLst>
    <x:ext xmlns:x15="http://schemas.microsoft.com/office/spreadsheetml/2010/11/main" uri="{2F2917AC-EB37-4324-AD4E-5DD8C200BD13}">
      <x15:tableSlicerCache tableId="33" column="18"/>
    </x:ext>
  </extLst>
</slicerCacheDefinition>
</file>

<file path=xl/slicerCaches/slicerCache13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121" xr10:uid="{51E14A62-FE7D-4DDC-A0B7-C35B57FCCDFC}" sourceName="Grade Point">
  <extLst>
    <x:ext xmlns:x15="http://schemas.microsoft.com/office/spreadsheetml/2010/11/main" uri="{2F2917AC-EB37-4324-AD4E-5DD8C200BD13}">
      <x15:tableSlicerCache tableId="33" column="19"/>
    </x:ext>
  </extLst>
</slicerCacheDefinition>
</file>

<file path=xl/slicerCaches/slicerCache13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1121" xr10:uid="{2C601173-5733-4878-AF3B-698995806493}" sourceName="Roll No">
  <extLst>
    <x:ext xmlns:x15="http://schemas.microsoft.com/office/spreadsheetml/2010/11/main" uri="{2F2917AC-EB37-4324-AD4E-5DD8C200BD13}">
      <x15:tableSlicerCache tableId="34" column="1"/>
    </x:ext>
  </extLst>
</slicerCacheDefinition>
</file>

<file path=xl/slicerCaches/slicerCache13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1121" xr10:uid="{0E963E0E-AE30-4070-9E1E-5658BBFCADCF}" sourceName="Lab Perfomance">
  <extLst>
    <x:ext xmlns:x15="http://schemas.microsoft.com/office/spreadsheetml/2010/11/main" uri="{2F2917AC-EB37-4324-AD4E-5DD8C200BD13}">
      <x15:tableSlicerCache tableId="34" column="7"/>
    </x:ext>
  </extLst>
</slicerCacheDefinition>
</file>

<file path=xl/slicerCaches/slicerCache1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2" xr10:uid="{02EAD172-DD9A-436F-87AA-026103AC430B}" sourceName="Roll No">
  <extLst>
    <x:ext xmlns:x15="http://schemas.microsoft.com/office/spreadsheetml/2010/11/main" uri="{2F2917AC-EB37-4324-AD4E-5DD8C200BD13}">
      <x15:tableSlicerCache tableId="6" column="1"/>
    </x:ext>
  </extLst>
</slicerCacheDefinition>
</file>

<file path=xl/slicerCaches/slicerCache14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1121" xr10:uid="{71A14775-637B-413C-B2A8-41141547F22C}" sourceName="Assignment">
  <extLst>
    <x:ext xmlns:x15="http://schemas.microsoft.com/office/spreadsheetml/2010/11/main" uri="{2F2917AC-EB37-4324-AD4E-5DD8C200BD13}">
      <x15:tableSlicerCache tableId="34" column="13"/>
    </x:ext>
  </extLst>
</slicerCacheDefinition>
</file>

<file path=xl/slicerCaches/slicerCache14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1121" xr10:uid="{A44500CB-CB32-4484-9CE1-9B55BA13B802}" sourceName="Final">
  <extLst>
    <x:ext xmlns:x15="http://schemas.microsoft.com/office/spreadsheetml/2010/11/main" uri="{2F2917AC-EB37-4324-AD4E-5DD8C200BD13}">
      <x15:tableSlicerCache tableId="34" column="14"/>
    </x:ext>
  </extLst>
</slicerCacheDefinition>
</file>

<file path=xl/slicerCaches/slicerCache14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1121" xr10:uid="{103EE204-28CF-4BF1-A141-51A370F234C0}" sourceName="Total">
  <extLst>
    <x:ext xmlns:x15="http://schemas.microsoft.com/office/spreadsheetml/2010/11/main" uri="{2F2917AC-EB37-4324-AD4E-5DD8C200BD13}">
      <x15:tableSlicerCache tableId="34" column="17"/>
    </x:ext>
  </extLst>
</slicerCacheDefinition>
</file>

<file path=xl/slicerCaches/slicerCache14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1121" xr10:uid="{9F7522B7-9CF5-4360-9C4A-8C2DFDBC53AE}" sourceName="Grade Scale">
  <extLst>
    <x:ext xmlns:x15="http://schemas.microsoft.com/office/spreadsheetml/2010/11/main" uri="{2F2917AC-EB37-4324-AD4E-5DD8C200BD13}">
      <x15:tableSlicerCache tableId="34" column="18"/>
    </x:ext>
  </extLst>
</slicerCacheDefinition>
</file>

<file path=xl/slicerCaches/slicerCache14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1121" xr10:uid="{F267DE10-24BF-49A1-837B-C8A72E987E99}" sourceName="Grade Point">
  <extLst>
    <x:ext xmlns:x15="http://schemas.microsoft.com/office/spreadsheetml/2010/11/main" uri="{2F2917AC-EB37-4324-AD4E-5DD8C200BD13}">
      <x15:tableSlicerCache tableId="34" column="19"/>
    </x:ext>
  </extLst>
</slicerCacheDefinition>
</file>

<file path=xl/slicerCaches/slicerCache14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_Subject_CGPA111" xr10:uid="{74A938A8-4511-46E8-9C5B-DC40CB4C4F2A}" sourceName="4th Semester (SGPA)">
  <extLst>
    <x:ext xmlns:x15="http://schemas.microsoft.com/office/spreadsheetml/2010/11/main" uri="{2F2917AC-EB37-4324-AD4E-5DD8C200BD13}">
      <x15:tableSlicerCache tableId="31" column="15"/>
    </x:ext>
  </extLst>
</slicerCacheDefinition>
</file>

<file path=xl/slicerCaches/slicerCache14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_ID11" xr10:uid="{B7FD3E16-DCD5-43BE-BB4D-E3F7EA280009}" sourceName="Employee ID">
  <extLst>
    <x:ext xmlns:x15="http://schemas.microsoft.com/office/spreadsheetml/2010/11/main" uri="{2F2917AC-EB37-4324-AD4E-5DD8C200BD13}">
      <x15:tableSlicerCache tableId="44" column="1"/>
    </x:ext>
  </extLst>
</slicerCacheDefinition>
</file>

<file path=xl/slicerCaches/slicerCache14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_of_Employee2" xr10:uid="{8A5B23F3-C78C-4C90-B307-B0E63BDA76EC}" sourceName="Name of Employee">
  <extLst>
    <x:ext xmlns:x15="http://schemas.microsoft.com/office/spreadsheetml/2010/11/main" uri="{2F2917AC-EB37-4324-AD4E-5DD8C200BD13}">
      <x15:tableSlicerCache tableId="44" column="2"/>
    </x:ext>
  </extLst>
</slicerCacheDefinition>
</file>

<file path=xl/slicerCaches/slicerCache14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_Salary2" xr10:uid="{43FBEE4C-FD91-44E7-8ECB-BBDCB5F24532}" sourceName="Employee Basic Salary">
  <extLst>
    <x:ext xmlns:x15="http://schemas.microsoft.com/office/spreadsheetml/2010/11/main" uri="{2F2917AC-EB37-4324-AD4E-5DD8C200BD13}">
      <x15:tableSlicerCache tableId="44" column="3"/>
    </x:ext>
  </extLst>
</slicerCacheDefinition>
</file>

<file path=xl/slicerCaches/slicerCache14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oss_Salary" xr10:uid="{FEB50CB7-F218-4B9D-8702-EA9DF1F67CCC}" sourceName="Gross Salary">
  <extLst>
    <x:ext xmlns:x15="http://schemas.microsoft.com/office/spreadsheetml/2010/11/main" uri="{2F2917AC-EB37-4324-AD4E-5DD8C200BD13}">
      <x15:tableSlicerCache tableId="3" column="10"/>
    </x:ext>
  </extLst>
</slicerCacheDefinition>
</file>

<file path=xl/slicerCaches/slicerCache1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 xr10:uid="{53253E23-B350-4F01-A7D2-F6EAF70D3514}" sourceName="Round of Average">
  <extLst>
    <x:ext xmlns:x15="http://schemas.microsoft.com/office/spreadsheetml/2010/11/main" uri="{2F2917AC-EB37-4324-AD4E-5DD8C200BD13}">
      <x15:tableSlicerCache tableId="6" column="7"/>
    </x:ext>
  </extLst>
</slicerCacheDefinition>
</file>

<file path=xl/slicerCaches/slicerCache15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6" xr10:uid="{060F8E0D-AB75-4818-9AD5-77DA3E3613D6}" sourceName="Roll No">
  <extLst>
    <x:ext xmlns:x15="http://schemas.microsoft.com/office/spreadsheetml/2010/11/main" uri="{2F2917AC-EB37-4324-AD4E-5DD8C200BD13}">
      <x15:tableSlicerCache tableId="48" column="1"/>
    </x:ext>
  </extLst>
</slicerCacheDefinition>
</file>

<file path=xl/slicerCaches/slicerCache15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6" xr10:uid="{481C63CA-0B15-44F8-9CFF-997816FE98F9}" sourceName="Round of Average">
  <extLst>
    <x:ext xmlns:x15="http://schemas.microsoft.com/office/spreadsheetml/2010/11/main" uri="{2F2917AC-EB37-4324-AD4E-5DD8C200BD13}">
      <x15:tableSlicerCache tableId="48" column="7"/>
    </x:ext>
  </extLst>
</slicerCacheDefinition>
</file>

<file path=xl/slicerCaches/slicerCache15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dterm5" xr10:uid="{FE09ECFF-0C03-49E6-9D7F-6D6420B81D79}" sourceName="Midterm">
  <extLst>
    <x:ext xmlns:x15="http://schemas.microsoft.com/office/spreadsheetml/2010/11/main" uri="{2F2917AC-EB37-4324-AD4E-5DD8C200BD13}">
      <x15:tableSlicerCache tableId="48" column="13"/>
    </x:ext>
  </extLst>
</slicerCacheDefinition>
</file>

<file path=xl/slicerCaches/slicerCache15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6" xr10:uid="{2C13869B-EEE9-4EC9-9C55-500198AAB5BF}" sourceName="Final">
  <extLst>
    <x:ext xmlns:x15="http://schemas.microsoft.com/office/spreadsheetml/2010/11/main" uri="{2F2917AC-EB37-4324-AD4E-5DD8C200BD13}">
      <x15:tableSlicerCache tableId="48" column="14"/>
    </x:ext>
  </extLst>
</slicerCacheDefinition>
</file>

<file path=xl/slicerCaches/slicerCache15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6" xr10:uid="{C31C248D-C3B7-4517-81F2-5931BD03BF79}" sourceName="Total">
  <extLst>
    <x:ext xmlns:x15="http://schemas.microsoft.com/office/spreadsheetml/2010/11/main" uri="{2F2917AC-EB37-4324-AD4E-5DD8C200BD13}">
      <x15:tableSlicerCache tableId="48" column="17"/>
    </x:ext>
  </extLst>
</slicerCacheDefinition>
</file>

<file path=xl/slicerCaches/slicerCache15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6" xr10:uid="{9591B376-0617-4D13-A220-1D8FC67B9CCA}" sourceName="Grade Scale">
  <extLst>
    <x:ext xmlns:x15="http://schemas.microsoft.com/office/spreadsheetml/2010/11/main" uri="{2F2917AC-EB37-4324-AD4E-5DD8C200BD13}">
      <x15:tableSlicerCache tableId="48" column="18"/>
    </x:ext>
  </extLst>
</slicerCacheDefinition>
</file>

<file path=xl/slicerCaches/slicerCache15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 xr10:uid="{C79BDB07-5EC9-4A2A-AFD1-0C1E30EE12A0}" sourceName="Grade Point">
  <extLst>
    <x:ext xmlns:x15="http://schemas.microsoft.com/office/spreadsheetml/2010/11/main" uri="{2F2917AC-EB37-4324-AD4E-5DD8C200BD13}">
      <x15:tableSlicerCache tableId="48" column="19"/>
    </x:ext>
  </extLst>
</slicerCacheDefinition>
</file>

<file path=xl/slicerCaches/slicerCache15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2" xr10:uid="{8CE7FB4D-0B86-4B95-8FD2-AFE5008AF9CE}" sourceName="Roll No">
  <extLst>
    <x:ext xmlns:x15="http://schemas.microsoft.com/office/spreadsheetml/2010/11/main" uri="{2F2917AC-EB37-4324-AD4E-5DD8C200BD13}">
      <x15:tableSlicerCache tableId="19" column="1"/>
    </x:ext>
  </extLst>
</slicerCacheDefinition>
</file>

<file path=xl/slicerCaches/slicerCache15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2" xr10:uid="{FAD169A2-65F9-4ED5-BA12-4AE5CAA207AF}" sourceName="Grade Point">
  <extLst>
    <x:ext xmlns:x15="http://schemas.microsoft.com/office/spreadsheetml/2010/11/main" uri="{2F2917AC-EB37-4324-AD4E-5DD8C200BD13}">
      <x15:tableSlicerCache tableId="19" column="19"/>
    </x:ext>
  </extLst>
</slicerCacheDefinition>
</file>

<file path=xl/slicerCaches/slicerCache15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2" xr10:uid="{D0FA18EB-91BF-4000-A369-0863EAD49CAA}" sourceName="Assignment">
  <extLst>
    <x:ext xmlns:x15="http://schemas.microsoft.com/office/spreadsheetml/2010/11/main" uri="{2F2917AC-EB37-4324-AD4E-5DD8C200BD13}">
      <x15:tableSlicerCache tableId="19" column="13"/>
    </x:ext>
  </extLst>
</slicerCacheDefinition>
</file>

<file path=xl/slicerCaches/slicerCache1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dterm" xr10:uid="{F29E6E70-D433-422B-B3D1-DE59FAAF39E9}" sourceName="Midterm">
  <extLst>
    <x:ext xmlns:x15="http://schemas.microsoft.com/office/spreadsheetml/2010/11/main" uri="{2F2917AC-EB37-4324-AD4E-5DD8C200BD13}">
      <x15:tableSlicerCache tableId="6" column="13"/>
    </x:ext>
  </extLst>
</slicerCacheDefinition>
</file>

<file path=xl/slicerCaches/slicerCache16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2" xr10:uid="{53BF573F-232B-4C1B-B9D8-0F5C15F70878}" sourceName="Final">
  <extLst>
    <x:ext xmlns:x15="http://schemas.microsoft.com/office/spreadsheetml/2010/11/main" uri="{2F2917AC-EB37-4324-AD4E-5DD8C200BD13}">
      <x15:tableSlicerCache tableId="19" column="14"/>
    </x:ext>
  </extLst>
</slicerCacheDefinition>
</file>

<file path=xl/slicerCaches/slicerCache16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2" xr10:uid="{179D7698-48BC-4370-AA44-55523B2A01AA}" sourceName="Grade Scale">
  <extLst>
    <x:ext xmlns:x15="http://schemas.microsoft.com/office/spreadsheetml/2010/11/main" uri="{2F2917AC-EB37-4324-AD4E-5DD8C200BD13}">
      <x15:tableSlicerCache tableId="19" column="18"/>
    </x:ext>
  </extLst>
</slicerCacheDefinition>
</file>

<file path=xl/slicerCaches/slicerCache16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2" xr10:uid="{4072C668-A226-4712-803F-44531A819852}" sourceName="Round of Average">
  <extLst>
    <x:ext xmlns:x15="http://schemas.microsoft.com/office/spreadsheetml/2010/11/main" uri="{2F2917AC-EB37-4324-AD4E-5DD8C200BD13}">
      <x15:tableSlicerCache tableId="19" column="7"/>
    </x:ext>
  </extLst>
</slicerCacheDefinition>
</file>

<file path=xl/slicerCaches/slicerCache16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2" xr10:uid="{A87924D4-98C5-4E81-9DC1-2ECA6D14287B}" sourceName="Total">
  <extLst>
    <x:ext xmlns:x15="http://schemas.microsoft.com/office/spreadsheetml/2010/11/main" uri="{2F2917AC-EB37-4324-AD4E-5DD8C200BD13}">
      <x15:tableSlicerCache tableId="19" column="17"/>
    </x:ext>
  </extLst>
</slicerCacheDefinition>
</file>

<file path=xl/slicerCaches/slicerCache16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22" xr10:uid="{2326B09F-16BC-47A1-80DF-A4710AC0C624}" sourceName="Grade Point">
  <extLst>
    <x:ext xmlns:x15="http://schemas.microsoft.com/office/spreadsheetml/2010/11/main" uri="{2F2917AC-EB37-4324-AD4E-5DD8C200BD13}">
      <x15:tableSlicerCache tableId="15" column="19"/>
    </x:ext>
  </extLst>
</slicerCacheDefinition>
</file>

<file path=xl/slicerCaches/slicerCache16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12" xr10:uid="{9F7935D5-4ADA-4E98-9BD5-D24216CC4FC4}" sourceName="Round of Average">
  <extLst>
    <x:ext xmlns:x15="http://schemas.microsoft.com/office/spreadsheetml/2010/11/main" uri="{2F2917AC-EB37-4324-AD4E-5DD8C200BD13}">
      <x15:tableSlicerCache tableId="15" column="7"/>
    </x:ext>
  </extLst>
</slicerCacheDefinition>
</file>

<file path=xl/slicerCaches/slicerCache16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12" xr10:uid="{02E57044-3B00-4400-ADFC-41E7482F27DD}" sourceName="Final">
  <extLst>
    <x:ext xmlns:x15="http://schemas.microsoft.com/office/spreadsheetml/2010/11/main" uri="{2F2917AC-EB37-4324-AD4E-5DD8C200BD13}">
      <x15:tableSlicerCache tableId="15" column="14"/>
    </x:ext>
  </extLst>
</slicerCacheDefinition>
</file>

<file path=xl/slicerCaches/slicerCache16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32" xr10:uid="{99B6986F-51D8-40D0-A577-2D3FBB798686}" sourceName="Roll No">
  <extLst>
    <x:ext xmlns:x15="http://schemas.microsoft.com/office/spreadsheetml/2010/11/main" uri="{2F2917AC-EB37-4324-AD4E-5DD8C200BD13}">
      <x15:tableSlicerCache tableId="15" column="1"/>
    </x:ext>
  </extLst>
</slicerCacheDefinition>
</file>

<file path=xl/slicerCaches/slicerCache16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dterm12" xr10:uid="{EB6F862E-3900-4450-B0BD-7867934C3699}" sourceName="Midterm">
  <extLst>
    <x:ext xmlns:x15="http://schemas.microsoft.com/office/spreadsheetml/2010/11/main" uri="{2F2917AC-EB37-4324-AD4E-5DD8C200BD13}">
      <x15:tableSlicerCache tableId="15" column="13"/>
    </x:ext>
  </extLst>
</slicerCacheDefinition>
</file>

<file path=xl/slicerCaches/slicerCache16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12" xr10:uid="{DD54CB2E-2264-4273-99BF-953A21AC37C2}" sourceName="Total">
  <extLst>
    <x:ext xmlns:x15="http://schemas.microsoft.com/office/spreadsheetml/2010/11/main" uri="{2F2917AC-EB37-4324-AD4E-5DD8C200BD13}">
      <x15:tableSlicerCache tableId="15" column="17"/>
    </x:ext>
  </extLst>
</slicerCacheDefinition>
</file>

<file path=xl/slicerCaches/slicerCache1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 xr10:uid="{B44BF760-DE8B-4907-9069-C3844598281E}" sourceName="Final">
  <extLst>
    <x:ext xmlns:x15="http://schemas.microsoft.com/office/spreadsheetml/2010/11/main" uri="{2F2917AC-EB37-4324-AD4E-5DD8C200BD13}">
      <x15:tableSlicerCache tableId="6" column="14"/>
    </x:ext>
  </extLst>
</slicerCacheDefinition>
</file>

<file path=xl/slicerCaches/slicerCache17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12" xr10:uid="{5D4C535A-8CC2-4A3D-8A5F-A42C7D6071C3}" sourceName="Grade Scale">
  <extLst>
    <x:ext xmlns:x15="http://schemas.microsoft.com/office/spreadsheetml/2010/11/main" uri="{2F2917AC-EB37-4324-AD4E-5DD8C200BD13}">
      <x15:tableSlicerCache tableId="15" column="18"/>
    </x:ext>
  </extLst>
</slicerCacheDefinition>
</file>

<file path=xl/slicerCaches/slicerCache17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12" xr10:uid="{9F8EC207-1F47-49CC-A1F6-BBF2A75C1415}" sourceName="Roll No">
  <extLst>
    <x:ext xmlns:x15="http://schemas.microsoft.com/office/spreadsheetml/2010/11/main" uri="{2F2917AC-EB37-4324-AD4E-5DD8C200BD13}">
      <x15:tableSlicerCache tableId="14" column="1"/>
    </x:ext>
  </extLst>
</slicerCacheDefinition>
</file>

<file path=xl/slicerCaches/slicerCache17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_Subject_CGPA2" xr10:uid="{2E238F04-D477-4DBA-8374-165FF0238E45}" sourceName="5th Semester (SGPA)">
  <extLst>
    <x:ext xmlns:x15="http://schemas.microsoft.com/office/spreadsheetml/2010/11/main" uri="{2F2917AC-EB37-4324-AD4E-5DD8C200BD13}">
      <x15:tableSlicerCache tableId="14" column="13"/>
    </x:ext>
  </extLst>
</slicerCacheDefinition>
</file>

<file path=xl/slicerCaches/slicerCache17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5" xr10:uid="{8385521D-9E02-4108-B471-8299C0735888}" sourceName="Total">
  <extLst>
    <x:ext xmlns:x15="http://schemas.microsoft.com/office/spreadsheetml/2010/11/main" uri="{2F2917AC-EB37-4324-AD4E-5DD8C200BD13}">
      <x15:tableSlicerCache tableId="13" column="17"/>
    </x:ext>
  </extLst>
</slicerCacheDefinition>
</file>

<file path=xl/slicerCaches/slicerCache17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5" xr10:uid="{032B4F6F-9FAD-4348-8F30-713DA15AC716}" sourceName="Grade Scale">
  <extLst>
    <x:ext xmlns:x15="http://schemas.microsoft.com/office/spreadsheetml/2010/11/main" uri="{2F2917AC-EB37-4324-AD4E-5DD8C200BD13}">
      <x15:tableSlicerCache tableId="13" column="18"/>
    </x:ext>
  </extLst>
</slicerCacheDefinition>
</file>

<file path=xl/slicerCaches/slicerCache17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5" xr10:uid="{0633CF44-8634-45A1-91AA-12C27BBBD4FE}" sourceName="Round of Average">
  <extLst>
    <x:ext xmlns:x15="http://schemas.microsoft.com/office/spreadsheetml/2010/11/main" uri="{2F2917AC-EB37-4324-AD4E-5DD8C200BD13}">
      <x15:tableSlicerCache tableId="13" column="7"/>
    </x:ext>
  </extLst>
</slicerCacheDefinition>
</file>

<file path=xl/slicerCaches/slicerCache17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22" xr10:uid="{ECEA70EE-E704-4219-848E-DBA3A5F60477}" sourceName="Roll No">
  <extLst>
    <x:ext xmlns:x15="http://schemas.microsoft.com/office/spreadsheetml/2010/11/main" uri="{2F2917AC-EB37-4324-AD4E-5DD8C200BD13}">
      <x15:tableSlicerCache tableId="13" column="1"/>
    </x:ext>
  </extLst>
</slicerCacheDefinition>
</file>

<file path=xl/slicerCaches/slicerCache17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12" xr10:uid="{F3C685B3-D53F-4658-801E-E5F10DB71DA6}" sourceName="Grade Point">
  <extLst>
    <x:ext xmlns:x15="http://schemas.microsoft.com/office/spreadsheetml/2010/11/main" uri="{2F2917AC-EB37-4324-AD4E-5DD8C200BD13}">
      <x15:tableSlicerCache tableId="13" column="19"/>
    </x:ext>
  </extLst>
</slicerCacheDefinition>
</file>

<file path=xl/slicerCaches/slicerCache17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dterm4" xr10:uid="{CA60F55B-4D06-43C0-A088-BC78460C8C63}" sourceName="Midterm">
  <extLst>
    <x:ext xmlns:x15="http://schemas.microsoft.com/office/spreadsheetml/2010/11/main" uri="{2F2917AC-EB37-4324-AD4E-5DD8C200BD13}">
      <x15:tableSlicerCache tableId="13" column="13"/>
    </x:ext>
  </extLst>
</slicerCacheDefinition>
</file>

<file path=xl/slicerCaches/slicerCache17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5" xr10:uid="{EE04B452-D293-4FB5-AE15-E26D30869911}" sourceName="Final">
  <extLst>
    <x:ext xmlns:x15="http://schemas.microsoft.com/office/spreadsheetml/2010/11/main" uri="{2F2917AC-EB37-4324-AD4E-5DD8C200BD13}">
      <x15:tableSlicerCache tableId="13" column="14"/>
    </x:ext>
  </extLst>
</slicerCacheDefinition>
</file>

<file path=xl/slicerCaches/slicerCache1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 xr10:uid="{A98BAAF4-0649-42A1-BEFF-35FB590C9537}" sourceName="Total">
  <extLst>
    <x:ext xmlns:x15="http://schemas.microsoft.com/office/spreadsheetml/2010/11/main" uri="{2F2917AC-EB37-4324-AD4E-5DD8C200BD13}">
      <x15:tableSlicerCache tableId="6" column="17"/>
    </x:ext>
  </extLst>
</slicerCacheDefinition>
</file>

<file path=xl/slicerCaches/slicerCache1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 xr10:uid="{A75FADA9-2AAF-43FF-9DDE-D5CB698C6A5E}" sourceName="Grade Scale">
  <extLst>
    <x:ext xmlns:x15="http://schemas.microsoft.com/office/spreadsheetml/2010/11/main" uri="{2F2917AC-EB37-4324-AD4E-5DD8C200BD13}">
      <x15:tableSlicerCache tableId="6" column="18"/>
    </x:ext>
  </extLst>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_of_Employee" xr10:uid="{3563441E-AC3B-4F1F-9DB0-218C0D742D63}" sourceName="Name of Employee">
  <extLst>
    <x:ext xmlns:x15="http://schemas.microsoft.com/office/spreadsheetml/2010/11/main" uri="{2F2917AC-EB37-4324-AD4E-5DD8C200BD13}">
      <x15:tableSlicerCache tableId="3" column="2"/>
    </x:ext>
  </extLst>
</slicerCacheDefinition>
</file>

<file path=xl/slicerCaches/slicerCache2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1" xr10:uid="{DA72BBB3-5008-47F7-91EE-E2F31391B5B9}" sourceName="Grade Point">
  <extLst>
    <x:ext xmlns:x15="http://schemas.microsoft.com/office/spreadsheetml/2010/11/main" uri="{2F2917AC-EB37-4324-AD4E-5DD8C200BD13}">
      <x15:tableSlicerCache tableId="6" column="19"/>
    </x:ext>
  </extLst>
</slicerCacheDefinition>
</file>

<file path=xl/slicerCaches/slicerCache2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3" xr10:uid="{6072DB04-F824-48EA-9A79-746747D82945}" sourceName="Roll No">
  <extLst>
    <x:ext xmlns:x15="http://schemas.microsoft.com/office/spreadsheetml/2010/11/main" uri="{2F2917AC-EB37-4324-AD4E-5DD8C200BD13}">
      <x15:tableSlicerCache tableId="10" column="1"/>
    </x:ext>
  </extLst>
</slicerCacheDefinition>
</file>

<file path=xl/slicerCaches/slicerCache2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1" xr10:uid="{1BC743A9-D0CD-48F1-B5F8-062FD144A1D6}" sourceName="Round of Average">
  <extLst>
    <x:ext xmlns:x15="http://schemas.microsoft.com/office/spreadsheetml/2010/11/main" uri="{2F2917AC-EB37-4324-AD4E-5DD8C200BD13}">
      <x15:tableSlicerCache tableId="10" column="7"/>
    </x:ext>
  </extLst>
</slicerCacheDefinition>
</file>

<file path=xl/slicerCaches/slicerCache2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dterm1" xr10:uid="{697874A4-AD69-41DF-9603-8E9CB32F5BAA}" sourceName="Midterm">
  <extLst>
    <x:ext xmlns:x15="http://schemas.microsoft.com/office/spreadsheetml/2010/11/main" uri="{2F2917AC-EB37-4324-AD4E-5DD8C200BD13}">
      <x15:tableSlicerCache tableId="10" column="13"/>
    </x:ext>
  </extLst>
</slicerCacheDefinition>
</file>

<file path=xl/slicerCaches/slicerCache2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1" xr10:uid="{0A639DA3-6476-4564-A14C-A5026BB7A6AE}" sourceName="Final">
  <extLst>
    <x:ext xmlns:x15="http://schemas.microsoft.com/office/spreadsheetml/2010/11/main" uri="{2F2917AC-EB37-4324-AD4E-5DD8C200BD13}">
      <x15:tableSlicerCache tableId="10" column="14"/>
    </x:ext>
  </extLst>
</slicerCacheDefinition>
</file>

<file path=xl/slicerCaches/slicerCache2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1" xr10:uid="{D6BF1C75-3E60-4559-9ED1-6380793FA8FE}" sourceName="Total">
  <extLst>
    <x:ext xmlns:x15="http://schemas.microsoft.com/office/spreadsheetml/2010/11/main" uri="{2F2917AC-EB37-4324-AD4E-5DD8C200BD13}">
      <x15:tableSlicerCache tableId="10" column="17"/>
    </x:ext>
  </extLst>
</slicerCacheDefinition>
</file>

<file path=xl/slicerCaches/slicerCache2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1" xr10:uid="{2BB25D11-9C16-4D56-855A-2256BED63111}" sourceName="Grade Scale">
  <extLst>
    <x:ext xmlns:x15="http://schemas.microsoft.com/office/spreadsheetml/2010/11/main" uri="{2F2917AC-EB37-4324-AD4E-5DD8C200BD13}">
      <x15:tableSlicerCache tableId="10" column="18"/>
    </x:ext>
  </extLst>
</slicerCacheDefinition>
</file>

<file path=xl/slicerCaches/slicerCache2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2" xr10:uid="{F2CDB908-604B-46CD-A67B-EF263073B1DC}" sourceName="Grade Point">
  <extLst>
    <x:ext xmlns:x15="http://schemas.microsoft.com/office/spreadsheetml/2010/11/main" uri="{2F2917AC-EB37-4324-AD4E-5DD8C200BD13}">
      <x15:tableSlicerCache tableId="10" column="19"/>
    </x:ext>
  </extLst>
</slicerCacheDefinition>
</file>

<file path=xl/slicerCaches/slicerCache2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4" xr10:uid="{B78E4B22-55AB-4E9A-9486-9A11D350D8C7}" sourceName="Roll No">
  <extLst>
    <x:ext xmlns:x15="http://schemas.microsoft.com/office/spreadsheetml/2010/11/main" uri="{2F2917AC-EB37-4324-AD4E-5DD8C200BD13}">
      <x15:tableSlicerCache tableId="17" column="1"/>
    </x:ext>
  </extLst>
</slicerCacheDefinition>
</file>

<file path=xl/slicerCaches/slicerCache2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2" xr10:uid="{38EF63AD-94AE-4B6D-8CB1-F624BC888AE9}" sourceName="Round of Average">
  <extLst>
    <x:ext xmlns:x15="http://schemas.microsoft.com/office/spreadsheetml/2010/11/main" uri="{2F2917AC-EB37-4324-AD4E-5DD8C200BD13}">
      <x15:tableSlicerCache tableId="17" column="7"/>
    </x:ext>
  </extLst>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_Salary" xr10:uid="{A6B93128-2857-43A4-8AB2-33D5345E8A48}" sourceName="Employee Basic Salary">
  <extLst>
    <x:ext xmlns:x15="http://schemas.microsoft.com/office/spreadsheetml/2010/11/main" uri="{2F2917AC-EB37-4324-AD4E-5DD8C200BD13}">
      <x15:tableSlicerCache tableId="3" column="3"/>
    </x:ext>
  </extLst>
</slicerCacheDefinition>
</file>

<file path=xl/slicerCaches/slicerCache3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dterm2" xr10:uid="{1FA8AA55-ACD6-4B3A-A2EB-C9FFE70ABB6E}" sourceName="Midterm">
  <extLst>
    <x:ext xmlns:x15="http://schemas.microsoft.com/office/spreadsheetml/2010/11/main" uri="{2F2917AC-EB37-4324-AD4E-5DD8C200BD13}">
      <x15:tableSlicerCache tableId="17" column="13"/>
    </x:ext>
  </extLst>
</slicerCacheDefinition>
</file>

<file path=xl/slicerCaches/slicerCache3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2" xr10:uid="{7C3428F9-33F2-464E-85AD-AA27057E26BA}" sourceName="Final">
  <extLst>
    <x:ext xmlns:x15="http://schemas.microsoft.com/office/spreadsheetml/2010/11/main" uri="{2F2917AC-EB37-4324-AD4E-5DD8C200BD13}">
      <x15:tableSlicerCache tableId="17" column="14"/>
    </x:ext>
  </extLst>
</slicerCacheDefinition>
</file>

<file path=xl/slicerCaches/slicerCache3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2" xr10:uid="{0C6CDA31-94D5-4885-A7F6-4090F9DDB1CA}" sourceName="Total">
  <extLst>
    <x:ext xmlns:x15="http://schemas.microsoft.com/office/spreadsheetml/2010/11/main" uri="{2F2917AC-EB37-4324-AD4E-5DD8C200BD13}">
      <x15:tableSlicerCache tableId="17" column="17"/>
    </x:ext>
  </extLst>
</slicerCacheDefinition>
</file>

<file path=xl/slicerCaches/slicerCache3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2" xr10:uid="{FE1092A8-77C9-450E-8FA1-7D468B497573}" sourceName="Grade Scale">
  <extLst>
    <x:ext xmlns:x15="http://schemas.microsoft.com/office/spreadsheetml/2010/11/main" uri="{2F2917AC-EB37-4324-AD4E-5DD8C200BD13}">
      <x15:tableSlicerCache tableId="17" column="18"/>
    </x:ext>
  </extLst>
</slicerCacheDefinition>
</file>

<file path=xl/slicerCaches/slicerCache3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3" xr10:uid="{81D2DE1E-E5F7-4ACE-8003-C34C994C95BC}" sourceName="Grade Point">
  <extLst>
    <x:ext xmlns:x15="http://schemas.microsoft.com/office/spreadsheetml/2010/11/main" uri="{2F2917AC-EB37-4324-AD4E-5DD8C200BD13}">
      <x15:tableSlicerCache tableId="17" column="19"/>
    </x:ext>
  </extLst>
</slicerCacheDefinition>
</file>

<file path=xl/slicerCaches/slicerCache3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 xr10:uid="{F05BD3CF-A328-4307-B0D0-BBB6811C5807}" sourceName="Roll No">
  <extLst>
    <x:ext xmlns:x15="http://schemas.microsoft.com/office/spreadsheetml/2010/11/main" uri="{2F2917AC-EB37-4324-AD4E-5DD8C200BD13}">
      <x15:tableSlicerCache tableId="18" column="1"/>
    </x:ext>
  </extLst>
</slicerCacheDefinition>
</file>

<file path=xl/slicerCaches/slicerCache3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 xr10:uid="{09E1BB86-7A58-4713-AF3E-95AAAE6EDECA}" sourceName="Round of Average">
  <extLst>
    <x:ext xmlns:x15="http://schemas.microsoft.com/office/spreadsheetml/2010/11/main" uri="{2F2917AC-EB37-4324-AD4E-5DD8C200BD13}">
      <x15:tableSlicerCache tableId="18" column="7"/>
    </x:ext>
  </extLst>
</slicerCacheDefinition>
</file>

<file path=xl/slicerCaches/slicerCache3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 xr10:uid="{D8969D31-A7EB-41EA-BAEE-079691547A01}" sourceName="Assignment">
  <extLst>
    <x:ext xmlns:x15="http://schemas.microsoft.com/office/spreadsheetml/2010/11/main" uri="{2F2917AC-EB37-4324-AD4E-5DD8C200BD13}">
      <x15:tableSlicerCache tableId="18" column="13"/>
    </x:ext>
  </extLst>
</slicerCacheDefinition>
</file>

<file path=xl/slicerCaches/slicerCache3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 xr10:uid="{6EC70F67-1FC1-400A-975C-2521FCAE3DD9}" sourceName="Final">
  <extLst>
    <x:ext xmlns:x15="http://schemas.microsoft.com/office/spreadsheetml/2010/11/main" uri="{2F2917AC-EB37-4324-AD4E-5DD8C200BD13}">
      <x15:tableSlicerCache tableId="18" column="14"/>
    </x:ext>
  </extLst>
</slicerCacheDefinition>
</file>

<file path=xl/slicerCaches/slicerCache3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 xr10:uid="{754EAE89-AD0D-4800-9820-373C0B3ADB3E}" sourceName="Total">
  <extLst>
    <x:ext xmlns:x15="http://schemas.microsoft.com/office/spreadsheetml/2010/11/main" uri="{2F2917AC-EB37-4324-AD4E-5DD8C200BD13}">
      <x15:tableSlicerCache tableId="18" column="17"/>
    </x:ext>
  </extLst>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 xr10:uid="{EFFE5E07-5A4A-42B4-8286-CC47FA95B074}" sourceName="Roll No">
  <extLst>
    <x:ext xmlns:x15="http://schemas.microsoft.com/office/spreadsheetml/2010/11/main" uri="{2F2917AC-EB37-4324-AD4E-5DD8C200BD13}">
      <x15:tableSlicerCache tableId="1" column="1"/>
    </x:ext>
  </extLst>
</slicerCacheDefinition>
</file>

<file path=xl/slicerCaches/slicerCache4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 xr10:uid="{4564C430-3958-4DA0-A0FE-8069525A609E}" sourceName="Grade Scale">
  <extLst>
    <x:ext xmlns:x15="http://schemas.microsoft.com/office/spreadsheetml/2010/11/main" uri="{2F2917AC-EB37-4324-AD4E-5DD8C200BD13}">
      <x15:tableSlicerCache tableId="18" column="18"/>
    </x:ext>
  </extLst>
</slicerCacheDefinition>
</file>

<file path=xl/slicerCaches/slicerCache4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 xr10:uid="{EDB34E94-7C61-41CD-B7EF-DA96535FA350}" sourceName="Grade Point">
  <extLst>
    <x:ext xmlns:x15="http://schemas.microsoft.com/office/spreadsheetml/2010/11/main" uri="{2F2917AC-EB37-4324-AD4E-5DD8C200BD13}">
      <x15:tableSlicerCache tableId="18" column="19"/>
    </x:ext>
  </extLst>
</slicerCacheDefinition>
</file>

<file path=xl/slicerCaches/slicerCache4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11" xr10:uid="{E6B82537-DB80-4A96-8840-E6C8C71DC087}" sourceName="Roll No">
  <extLst>
    <x:ext xmlns:x15="http://schemas.microsoft.com/office/spreadsheetml/2010/11/main" uri="{2F2917AC-EB37-4324-AD4E-5DD8C200BD13}">
      <x15:tableSlicerCache tableId="8" column="1"/>
    </x:ext>
  </extLst>
</slicerCacheDefinition>
</file>

<file path=xl/slicerCaches/slicerCache4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21" xr10:uid="{86F6DB88-D19C-4552-A765-EF4F5A25322C}" sourceName="Roll No">
  <extLst>
    <x:ext xmlns:x15="http://schemas.microsoft.com/office/spreadsheetml/2010/11/main" uri="{2F2917AC-EB37-4324-AD4E-5DD8C200BD13}">
      <x15:tableSlicerCache tableId="4" column="1"/>
    </x:ext>
  </extLst>
</slicerCacheDefinition>
</file>

<file path=xl/slicerCaches/slicerCache4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4" xr10:uid="{D4BE2407-C404-4C26-AFC6-4B7648510719}" sourceName="Round of Average">
  <extLst>
    <x:ext xmlns:x15="http://schemas.microsoft.com/office/spreadsheetml/2010/11/main" uri="{2F2917AC-EB37-4324-AD4E-5DD8C200BD13}">
      <x15:tableSlicerCache tableId="4" column="7"/>
    </x:ext>
  </extLst>
</slicerCacheDefinition>
</file>

<file path=xl/slicerCaches/slicerCache4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dterm3" xr10:uid="{00DCD487-1C58-4F0A-8C2C-0793F32003A8}" sourceName="Midterm">
  <extLst>
    <x:ext xmlns:x15="http://schemas.microsoft.com/office/spreadsheetml/2010/11/main" uri="{2F2917AC-EB37-4324-AD4E-5DD8C200BD13}">
      <x15:tableSlicerCache tableId="4" column="13"/>
    </x:ext>
  </extLst>
</slicerCacheDefinition>
</file>

<file path=xl/slicerCaches/slicerCache4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4" xr10:uid="{C5E6B991-6BC3-4F37-ADCB-D7AF41C69662}" sourceName="Final">
  <extLst>
    <x:ext xmlns:x15="http://schemas.microsoft.com/office/spreadsheetml/2010/11/main" uri="{2F2917AC-EB37-4324-AD4E-5DD8C200BD13}">
      <x15:tableSlicerCache tableId="4" column="14"/>
    </x:ext>
  </extLst>
</slicerCacheDefinition>
</file>

<file path=xl/slicerCaches/slicerCache4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4" xr10:uid="{22F049CE-D9F0-4702-8830-9060B0ACB411}" sourceName="Total">
  <extLst>
    <x:ext xmlns:x15="http://schemas.microsoft.com/office/spreadsheetml/2010/11/main" uri="{2F2917AC-EB37-4324-AD4E-5DD8C200BD13}">
      <x15:tableSlicerCache tableId="4" column="17"/>
    </x:ext>
  </extLst>
</slicerCacheDefinition>
</file>

<file path=xl/slicerCaches/slicerCache4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4" xr10:uid="{0BEEEA2E-B9D7-4BA1-BD71-57BAC35E11A0}" sourceName="Grade Scale">
  <extLst>
    <x:ext xmlns:x15="http://schemas.microsoft.com/office/spreadsheetml/2010/11/main" uri="{2F2917AC-EB37-4324-AD4E-5DD8C200BD13}">
      <x15:tableSlicerCache tableId="4" column="18"/>
    </x:ext>
  </extLst>
</slicerCacheDefinition>
</file>

<file path=xl/slicerCaches/slicerCache4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11" xr10:uid="{ACDF5817-2ED4-491A-B7FD-09B042373F61}" sourceName="Grade Point">
  <extLst>
    <x:ext xmlns:x15="http://schemas.microsoft.com/office/spreadsheetml/2010/11/main" uri="{2F2917AC-EB37-4324-AD4E-5DD8C200BD13}">
      <x15:tableSlicerCache tableId="4" column="19"/>
    </x:ext>
  </extLst>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 xr10:uid="{D976FEDF-C005-4FC0-A4DA-651C16A8B94D}" sourceName="Department">
  <extLst>
    <x:ext xmlns:x15="http://schemas.microsoft.com/office/spreadsheetml/2010/11/main" uri="{2F2917AC-EB37-4324-AD4E-5DD8C200BD13}">
      <x15:tableSlicerCache tableId="1" column="3"/>
    </x:ext>
  </extLst>
</slicerCacheDefinition>
</file>

<file path=xl/slicerCaches/slicerCache5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 xr10:uid="{33D24A1F-EF1D-4574-A3AD-EBC9CE3B7D45}" sourceName="Roll No">
  <extLst>
    <x:ext xmlns:x15="http://schemas.microsoft.com/office/spreadsheetml/2010/11/main" uri="{2F2917AC-EB37-4324-AD4E-5DD8C200BD13}">
      <x15:tableSlicerCache tableId="12" column="1"/>
    </x:ext>
  </extLst>
</slicerCacheDefinition>
</file>

<file path=xl/slicerCaches/slicerCache5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 xr10:uid="{DE825BB8-5009-4470-BB37-96FBB4E2C163}" sourceName="Round of Average">
  <extLst>
    <x:ext xmlns:x15="http://schemas.microsoft.com/office/spreadsheetml/2010/11/main" uri="{2F2917AC-EB37-4324-AD4E-5DD8C200BD13}">
      <x15:tableSlicerCache tableId="12" column="7"/>
    </x:ext>
  </extLst>
</slicerCacheDefinition>
</file>

<file path=xl/slicerCaches/slicerCache5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 xr10:uid="{3F07D7E1-9876-4714-9571-EB71A6F2466C}" sourceName="Assignment">
  <extLst>
    <x:ext xmlns:x15="http://schemas.microsoft.com/office/spreadsheetml/2010/11/main" uri="{2F2917AC-EB37-4324-AD4E-5DD8C200BD13}">
      <x15:tableSlicerCache tableId="12" column="13"/>
    </x:ext>
  </extLst>
</slicerCacheDefinition>
</file>

<file path=xl/slicerCaches/slicerCache5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 xr10:uid="{3328EF31-74FC-4F98-A8C9-0BC06D824869}" sourceName="Final">
  <extLst>
    <x:ext xmlns:x15="http://schemas.microsoft.com/office/spreadsheetml/2010/11/main" uri="{2F2917AC-EB37-4324-AD4E-5DD8C200BD13}">
      <x15:tableSlicerCache tableId="12" column="14"/>
    </x:ext>
  </extLst>
</slicerCacheDefinition>
</file>

<file path=xl/slicerCaches/slicerCache5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 xr10:uid="{F0BCD8F0-AECA-4BB8-9349-A60C10FCC1DD}" sourceName="Total">
  <extLst>
    <x:ext xmlns:x15="http://schemas.microsoft.com/office/spreadsheetml/2010/11/main" uri="{2F2917AC-EB37-4324-AD4E-5DD8C200BD13}">
      <x15:tableSlicerCache tableId="12" column="17"/>
    </x:ext>
  </extLst>
</slicerCacheDefinition>
</file>

<file path=xl/slicerCaches/slicerCache5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 xr10:uid="{EE2C59D8-8B28-42B9-A99E-FEABE2D15BF7}" sourceName="Grade Scale">
  <extLst>
    <x:ext xmlns:x15="http://schemas.microsoft.com/office/spreadsheetml/2010/11/main" uri="{2F2917AC-EB37-4324-AD4E-5DD8C200BD13}">
      <x15:tableSlicerCache tableId="12" column="18"/>
    </x:ext>
  </extLst>
</slicerCacheDefinition>
</file>

<file path=xl/slicerCaches/slicerCache5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 xr10:uid="{FEA0C05F-62C2-4F63-9566-B75F1E57D9A7}" sourceName="Grade Point">
  <extLst>
    <x:ext xmlns:x15="http://schemas.microsoft.com/office/spreadsheetml/2010/11/main" uri="{2F2917AC-EB37-4324-AD4E-5DD8C200BD13}">
      <x15:tableSlicerCache tableId="12" column="19"/>
    </x:ext>
  </extLst>
</slicerCacheDefinition>
</file>

<file path=xl/slicerCaches/slicerCache5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1" xr10:uid="{5B294CA1-1F0C-4766-B9A9-0D70505F89FA}" sourceName="Roll No">
  <extLst>
    <x:ext xmlns:x15="http://schemas.microsoft.com/office/spreadsheetml/2010/11/main" uri="{2F2917AC-EB37-4324-AD4E-5DD8C200BD13}">
      <x15:tableSlicerCache tableId="20" column="1"/>
    </x:ext>
  </extLst>
</slicerCacheDefinition>
</file>

<file path=xl/slicerCaches/slicerCache5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1" xr10:uid="{543E7D09-78FC-4E39-A8CC-55BBE458CD0E}" sourceName="Round of Average">
  <extLst>
    <x:ext xmlns:x15="http://schemas.microsoft.com/office/spreadsheetml/2010/11/main" uri="{2F2917AC-EB37-4324-AD4E-5DD8C200BD13}">
      <x15:tableSlicerCache tableId="20" column="7"/>
    </x:ext>
  </extLst>
</slicerCacheDefinition>
</file>

<file path=xl/slicerCaches/slicerCache5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1" xr10:uid="{7BC00EBC-20F2-4DEF-A80F-BCA751C202E7}" sourceName="Assignment">
  <extLst>
    <x:ext xmlns:x15="http://schemas.microsoft.com/office/spreadsheetml/2010/11/main" uri="{2F2917AC-EB37-4324-AD4E-5DD8C200BD13}">
      <x15:tableSlicerCache tableId="20" column="13"/>
    </x:ext>
  </extLst>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_ID" xr10:uid="{408DF057-5AEF-4023-976C-7B246047EAB6}" sourceName="Employee ID">
  <extLst>
    <x:ext xmlns:x15="http://schemas.microsoft.com/office/spreadsheetml/2010/11/main" uri="{2F2917AC-EB37-4324-AD4E-5DD8C200BD13}">
      <x15:tableSlicerCache tableId="2" column="1"/>
    </x:ext>
  </extLst>
</slicerCacheDefinition>
</file>

<file path=xl/slicerCaches/slicerCache6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1" xr10:uid="{0184721C-7C69-4E8F-B39C-AFDE3FB9AEE5}" sourceName="Final">
  <extLst>
    <x:ext xmlns:x15="http://schemas.microsoft.com/office/spreadsheetml/2010/11/main" uri="{2F2917AC-EB37-4324-AD4E-5DD8C200BD13}">
      <x15:tableSlicerCache tableId="20" column="14"/>
    </x:ext>
  </extLst>
</slicerCacheDefinition>
</file>

<file path=xl/slicerCaches/slicerCache6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1" xr10:uid="{BDC0143D-9276-4F7E-BDBC-AC215311416D}" sourceName="Total">
  <extLst>
    <x:ext xmlns:x15="http://schemas.microsoft.com/office/spreadsheetml/2010/11/main" uri="{2F2917AC-EB37-4324-AD4E-5DD8C200BD13}">
      <x15:tableSlicerCache tableId="20" column="17"/>
    </x:ext>
  </extLst>
</slicerCacheDefinition>
</file>

<file path=xl/slicerCaches/slicerCache6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1" xr10:uid="{7D6B3E45-D25B-4AB5-AE19-BE94FF11E1EE}" sourceName="Grade Scale">
  <extLst>
    <x:ext xmlns:x15="http://schemas.microsoft.com/office/spreadsheetml/2010/11/main" uri="{2F2917AC-EB37-4324-AD4E-5DD8C200BD13}">
      <x15:tableSlicerCache tableId="20" column="18"/>
    </x:ext>
  </extLst>
</slicerCacheDefinition>
</file>

<file path=xl/slicerCaches/slicerCache6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1" xr10:uid="{E7C0C972-BD35-4557-9553-4840CA595FF9}" sourceName="Grade Point">
  <extLst>
    <x:ext xmlns:x15="http://schemas.microsoft.com/office/spreadsheetml/2010/11/main" uri="{2F2917AC-EB37-4324-AD4E-5DD8C200BD13}">
      <x15:tableSlicerCache tableId="20" column="19"/>
    </x:ext>
  </extLst>
</slicerCacheDefinition>
</file>

<file path=xl/slicerCaches/slicerCache6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11" xr10:uid="{4C93B373-31D7-4669-A991-C94A716F52E5}" sourceName="Roll No">
  <extLst>
    <x:ext xmlns:x15="http://schemas.microsoft.com/office/spreadsheetml/2010/11/main" uri="{2F2917AC-EB37-4324-AD4E-5DD8C200BD13}">
      <x15:tableSlicerCache tableId="21" column="1"/>
    </x:ext>
  </extLst>
</slicerCacheDefinition>
</file>

<file path=xl/slicerCaches/slicerCache6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11" xr10:uid="{B9EF76AE-1481-442F-886D-77C077426D77}" sourceName="Lab Perfomance">
  <extLst>
    <x:ext xmlns:x15="http://schemas.microsoft.com/office/spreadsheetml/2010/11/main" uri="{2F2917AC-EB37-4324-AD4E-5DD8C200BD13}">
      <x15:tableSlicerCache tableId="21" column="7"/>
    </x:ext>
  </extLst>
</slicerCacheDefinition>
</file>

<file path=xl/slicerCaches/slicerCache6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11" xr10:uid="{82F34DA7-F7A6-4817-8950-1B6B7D361635}" sourceName="Assignment">
  <extLst>
    <x:ext xmlns:x15="http://schemas.microsoft.com/office/spreadsheetml/2010/11/main" uri="{2F2917AC-EB37-4324-AD4E-5DD8C200BD13}">
      <x15:tableSlicerCache tableId="21" column="13"/>
    </x:ext>
  </extLst>
</slicerCacheDefinition>
</file>

<file path=xl/slicerCaches/slicerCache6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11" xr10:uid="{2C567701-F402-4755-9DD1-FFB202E2F250}" sourceName="Final">
  <extLst>
    <x:ext xmlns:x15="http://schemas.microsoft.com/office/spreadsheetml/2010/11/main" uri="{2F2917AC-EB37-4324-AD4E-5DD8C200BD13}">
      <x15:tableSlicerCache tableId="21" column="14"/>
    </x:ext>
  </extLst>
</slicerCacheDefinition>
</file>

<file path=xl/slicerCaches/slicerCache6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11" xr10:uid="{CD21D579-3592-48F8-8D68-C19087CD2593}" sourceName="Total">
  <extLst>
    <x:ext xmlns:x15="http://schemas.microsoft.com/office/spreadsheetml/2010/11/main" uri="{2F2917AC-EB37-4324-AD4E-5DD8C200BD13}">
      <x15:tableSlicerCache tableId="21" column="17"/>
    </x:ext>
  </extLst>
</slicerCacheDefinition>
</file>

<file path=xl/slicerCaches/slicerCache6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11" xr10:uid="{5E75B2D6-72F9-4E09-8169-002E56DEED62}" sourceName="Grade Scale">
  <extLst>
    <x:ext xmlns:x15="http://schemas.microsoft.com/office/spreadsheetml/2010/11/main" uri="{2F2917AC-EB37-4324-AD4E-5DD8C200BD13}">
      <x15:tableSlicerCache tableId="21" column="18"/>
    </x:ext>
  </extLst>
</slicerCacheDefinition>
</file>

<file path=xl/slicerCaches/slicerCache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epartment1" xr10:uid="{CC24235F-6E12-4B44-AFF1-6C40DDB6B4CB}" sourceName="Title">
  <extLst>
    <x:ext xmlns:x15="http://schemas.microsoft.com/office/spreadsheetml/2010/11/main" uri="{2F2917AC-EB37-4324-AD4E-5DD8C200BD13}">
      <x15:tableSlicerCache tableId="2" column="3"/>
    </x:ext>
  </extLst>
</slicerCacheDefinition>
</file>

<file path=xl/slicerCaches/slicerCache7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11" xr10:uid="{0D7973D4-6770-40B2-9DEB-90924D5D4D30}" sourceName="Grade Point">
  <extLst>
    <x:ext xmlns:x15="http://schemas.microsoft.com/office/spreadsheetml/2010/11/main" uri="{2F2917AC-EB37-4324-AD4E-5DD8C200BD13}">
      <x15:tableSlicerCache tableId="21" column="19"/>
    </x:ext>
  </extLst>
</slicerCacheDefinition>
</file>

<file path=xl/slicerCaches/slicerCache7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111" xr10:uid="{A415666E-EE66-4CAD-9BB7-3F0089C6915B}" sourceName="Roll No">
  <extLst>
    <x:ext xmlns:x15="http://schemas.microsoft.com/office/spreadsheetml/2010/11/main" uri="{2F2917AC-EB37-4324-AD4E-5DD8C200BD13}">
      <x15:tableSlicerCache tableId="23" column="1"/>
    </x:ext>
  </extLst>
</slicerCacheDefinition>
</file>

<file path=xl/slicerCaches/slicerCache7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111" xr10:uid="{6AA6B9EB-A7E0-4A0C-8B8C-D6D1EE378D30}" sourceName="Lab Perfomance">
  <extLst>
    <x:ext xmlns:x15="http://schemas.microsoft.com/office/spreadsheetml/2010/11/main" uri="{2F2917AC-EB37-4324-AD4E-5DD8C200BD13}">
      <x15:tableSlicerCache tableId="23" column="7"/>
    </x:ext>
  </extLst>
</slicerCacheDefinition>
</file>

<file path=xl/slicerCaches/slicerCache7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111" xr10:uid="{D2A9B715-1201-4FEE-ACF2-983C5F7CC62B}" sourceName="Assignment">
  <extLst>
    <x:ext xmlns:x15="http://schemas.microsoft.com/office/spreadsheetml/2010/11/main" uri="{2F2917AC-EB37-4324-AD4E-5DD8C200BD13}">
      <x15:tableSlicerCache tableId="23" column="13"/>
    </x:ext>
  </extLst>
</slicerCacheDefinition>
</file>

<file path=xl/slicerCaches/slicerCache7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111" xr10:uid="{4614AD35-2844-4F00-9BC5-794AAA17DA7E}" sourceName="Final">
  <extLst>
    <x:ext xmlns:x15="http://schemas.microsoft.com/office/spreadsheetml/2010/11/main" uri="{2F2917AC-EB37-4324-AD4E-5DD8C200BD13}">
      <x15:tableSlicerCache tableId="23" column="14"/>
    </x:ext>
  </extLst>
</slicerCacheDefinition>
</file>

<file path=xl/slicerCaches/slicerCache7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111" xr10:uid="{8CBBDD58-9584-4D60-8CD8-B9F0E5AD6E51}" sourceName="Total">
  <extLst>
    <x:ext xmlns:x15="http://schemas.microsoft.com/office/spreadsheetml/2010/11/main" uri="{2F2917AC-EB37-4324-AD4E-5DD8C200BD13}">
      <x15:tableSlicerCache tableId="23" column="17"/>
    </x:ext>
  </extLst>
</slicerCacheDefinition>
</file>

<file path=xl/slicerCaches/slicerCache7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111" xr10:uid="{D2D1CC5B-4264-4100-8122-05733EE8B173}" sourceName="Grade Scale">
  <extLst>
    <x:ext xmlns:x15="http://schemas.microsoft.com/office/spreadsheetml/2010/11/main" uri="{2F2917AC-EB37-4324-AD4E-5DD8C200BD13}">
      <x15:tableSlicerCache tableId="23" column="18"/>
    </x:ext>
  </extLst>
</slicerCacheDefinition>
</file>

<file path=xl/slicerCaches/slicerCache7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111" xr10:uid="{4B719F48-32FD-4CCA-AAD5-94E84F19E716}" sourceName="Grade Point">
  <extLst>
    <x:ext xmlns:x15="http://schemas.microsoft.com/office/spreadsheetml/2010/11/main" uri="{2F2917AC-EB37-4324-AD4E-5DD8C200BD13}">
      <x15:tableSlicerCache tableId="23" column="19"/>
    </x:ext>
  </extLst>
</slicerCacheDefinition>
</file>

<file path=xl/slicerCaches/slicerCache7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_Subject_CGPA1" xr10:uid="{BB5C63CD-CCDD-439F-893A-BAD5FA21E158}" sourceName="2nd Semester (SGPA)">
  <extLst>
    <x:ext xmlns:x15="http://schemas.microsoft.com/office/spreadsheetml/2010/11/main" uri="{2F2917AC-EB37-4324-AD4E-5DD8C200BD13}">
      <x15:tableSlicerCache tableId="8" column="15"/>
    </x:ext>
  </extLst>
</slicerCacheDefinition>
</file>

<file path=xl/slicerCaches/slicerCache7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111" xr10:uid="{D4F28364-90F3-424E-B287-24C9FF2B3D7B}" sourceName="Roll No">
  <extLst>
    <x:ext xmlns:x15="http://schemas.microsoft.com/office/spreadsheetml/2010/11/main" uri="{2F2917AC-EB37-4324-AD4E-5DD8C200BD13}">
      <x15:tableSlicerCache tableId="25" column="1"/>
    </x:ext>
  </extLst>
</slicerCacheDefinition>
</file>

<file path=xl/slicerCaches/slicerCache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_ID2" xr10:uid="{D2CADC3A-9005-4403-9A77-04726A8AB3A4}" sourceName="Employee ID">
  <extLst>
    <x:ext xmlns:x15="http://schemas.microsoft.com/office/spreadsheetml/2010/11/main" uri="{2F2917AC-EB37-4324-AD4E-5DD8C200BD13}">
      <x15:tableSlicerCache tableId="5" column="1"/>
    </x:ext>
  </extLst>
</slicerCacheDefinition>
</file>

<file path=xl/slicerCaches/slicerCache8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211" xr10:uid="{97987223-8450-40CE-8043-0CAE8055DC85}" sourceName="Roll No">
  <extLst>
    <x:ext xmlns:x15="http://schemas.microsoft.com/office/spreadsheetml/2010/11/main" uri="{2F2917AC-EB37-4324-AD4E-5DD8C200BD13}">
      <x15:tableSlicerCache tableId="24" column="1"/>
    </x:ext>
  </extLst>
</slicerCacheDefinition>
</file>

<file path=xl/slicerCaches/slicerCache8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41" xr10:uid="{8062DF98-A5D8-4B86-92DF-0E8AAC2363A7}" sourceName="Round of Average">
  <extLst>
    <x:ext xmlns:x15="http://schemas.microsoft.com/office/spreadsheetml/2010/11/main" uri="{2F2917AC-EB37-4324-AD4E-5DD8C200BD13}">
      <x15:tableSlicerCache tableId="24" column="7"/>
    </x:ext>
  </extLst>
</slicerCacheDefinition>
</file>

<file path=xl/slicerCaches/slicerCache8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idterm31" xr10:uid="{86DC14FF-7367-4AA2-AF8F-64746FE29136}" sourceName="Midterm">
  <extLst>
    <x:ext xmlns:x15="http://schemas.microsoft.com/office/spreadsheetml/2010/11/main" uri="{2F2917AC-EB37-4324-AD4E-5DD8C200BD13}">
      <x15:tableSlicerCache tableId="24" column="13"/>
    </x:ext>
  </extLst>
</slicerCacheDefinition>
</file>

<file path=xl/slicerCaches/slicerCache8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41" xr10:uid="{9BF8F8D9-4959-4645-B91B-E96DCF7CE920}" sourceName="Final">
  <extLst>
    <x:ext xmlns:x15="http://schemas.microsoft.com/office/spreadsheetml/2010/11/main" uri="{2F2917AC-EB37-4324-AD4E-5DD8C200BD13}">
      <x15:tableSlicerCache tableId="24" column="14"/>
    </x:ext>
  </extLst>
</slicerCacheDefinition>
</file>

<file path=xl/slicerCaches/slicerCache8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41" xr10:uid="{5639877E-0C07-4C40-9CBE-EA5BF101909B}" sourceName="Total">
  <extLst>
    <x:ext xmlns:x15="http://schemas.microsoft.com/office/spreadsheetml/2010/11/main" uri="{2F2917AC-EB37-4324-AD4E-5DD8C200BD13}">
      <x15:tableSlicerCache tableId="24" column="17"/>
    </x:ext>
  </extLst>
</slicerCacheDefinition>
</file>

<file path=xl/slicerCaches/slicerCache8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41" xr10:uid="{B1AB5F95-C80E-4189-8E05-EEAC7F708CB9}" sourceName="Grade Scale">
  <extLst>
    <x:ext xmlns:x15="http://schemas.microsoft.com/office/spreadsheetml/2010/11/main" uri="{2F2917AC-EB37-4324-AD4E-5DD8C200BD13}">
      <x15:tableSlicerCache tableId="24" column="18"/>
    </x:ext>
  </extLst>
</slicerCacheDefinition>
</file>

<file path=xl/slicerCaches/slicerCache8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111" xr10:uid="{542E7686-EB99-4739-8083-12979ECD6F3D}" sourceName="Grade Point">
  <extLst>
    <x:ext xmlns:x15="http://schemas.microsoft.com/office/spreadsheetml/2010/11/main" uri="{2F2917AC-EB37-4324-AD4E-5DD8C200BD13}">
      <x15:tableSlicerCache tableId="24" column="19"/>
    </x:ext>
  </extLst>
</slicerCacheDefinition>
</file>

<file path=xl/slicerCaches/slicerCache8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2" xr10:uid="{9D0A5A6A-9FF1-4404-9EB2-015296B99DED}" sourceName="Roll No">
  <extLst>
    <x:ext xmlns:x15="http://schemas.microsoft.com/office/spreadsheetml/2010/11/main" uri="{2F2917AC-EB37-4324-AD4E-5DD8C200BD13}">
      <x15:tableSlicerCache tableId="26" column="1"/>
    </x:ext>
  </extLst>
</slicerCacheDefinition>
</file>

<file path=xl/slicerCaches/slicerCache8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2" xr10:uid="{1FD3BDBE-B022-43B2-A45A-D8E8AE98D171}" sourceName="Round of Average">
  <extLst>
    <x:ext xmlns:x15="http://schemas.microsoft.com/office/spreadsheetml/2010/11/main" uri="{2F2917AC-EB37-4324-AD4E-5DD8C200BD13}">
      <x15:tableSlicerCache tableId="26" column="7"/>
    </x:ext>
  </extLst>
</slicerCacheDefinition>
</file>

<file path=xl/slicerCaches/slicerCache8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2" xr10:uid="{E6A42C5D-4832-45E5-986F-BBDD1D28B3BF}" sourceName="Assignment">
  <extLst>
    <x:ext xmlns:x15="http://schemas.microsoft.com/office/spreadsheetml/2010/11/main" uri="{2F2917AC-EB37-4324-AD4E-5DD8C200BD13}">
      <x15:tableSlicerCache tableId="26" column="13"/>
    </x:ext>
  </extLst>
</slicerCacheDefinition>
</file>

<file path=xl/slicerCaches/slicerCache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Name_of_Employee1" xr10:uid="{26A20369-248B-43B8-8AFD-69D2B621B46D}" sourceName="Name of Employee">
  <extLst>
    <x:ext xmlns:x15="http://schemas.microsoft.com/office/spreadsheetml/2010/11/main" uri="{2F2917AC-EB37-4324-AD4E-5DD8C200BD13}">
      <x15:tableSlicerCache tableId="5" column="2"/>
    </x:ext>
  </extLst>
</slicerCacheDefinition>
</file>

<file path=xl/slicerCaches/slicerCache90.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2" xr10:uid="{9BE3F0A4-7D25-481C-9C06-62B620D1579B}" sourceName="Final">
  <extLst>
    <x:ext xmlns:x15="http://schemas.microsoft.com/office/spreadsheetml/2010/11/main" uri="{2F2917AC-EB37-4324-AD4E-5DD8C200BD13}">
      <x15:tableSlicerCache tableId="26" column="14"/>
    </x:ext>
  </extLst>
</slicerCacheDefinition>
</file>

<file path=xl/slicerCaches/slicerCache9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2" xr10:uid="{26B1D7BE-E252-4E00-B020-2F0E0E9D33FC}" sourceName="Total">
  <extLst>
    <x:ext xmlns:x15="http://schemas.microsoft.com/office/spreadsheetml/2010/11/main" uri="{2F2917AC-EB37-4324-AD4E-5DD8C200BD13}">
      <x15:tableSlicerCache tableId="26" column="17"/>
    </x:ext>
  </extLst>
</slicerCacheDefinition>
</file>

<file path=xl/slicerCaches/slicerCache9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2" xr10:uid="{52C44B82-66B3-4FF1-AEF7-B94408FF11A2}" sourceName="Grade Scale">
  <extLst>
    <x:ext xmlns:x15="http://schemas.microsoft.com/office/spreadsheetml/2010/11/main" uri="{2F2917AC-EB37-4324-AD4E-5DD8C200BD13}">
      <x15:tableSlicerCache tableId="26" column="18"/>
    </x:ext>
  </extLst>
</slicerCacheDefinition>
</file>

<file path=xl/slicerCaches/slicerCache9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Point412" xr10:uid="{AF68856B-EE80-4116-BAD7-84B62E4361D5}" sourceName="Grade Point">
  <extLst>
    <x:ext xmlns:x15="http://schemas.microsoft.com/office/spreadsheetml/2010/11/main" uri="{2F2917AC-EB37-4324-AD4E-5DD8C200BD13}">
      <x15:tableSlicerCache tableId="26" column="19"/>
    </x:ext>
  </extLst>
</slicerCacheDefinition>
</file>

<file path=xl/slicerCaches/slicerCache9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ll_No5112" xr10:uid="{F9E92722-2A74-48FB-A652-7E630D877A87}" sourceName="Roll No">
  <extLst>
    <x:ext xmlns:x15="http://schemas.microsoft.com/office/spreadsheetml/2010/11/main" uri="{2F2917AC-EB37-4324-AD4E-5DD8C200BD13}">
      <x15:tableSlicerCache tableId="27" column="1"/>
    </x:ext>
  </extLst>
</slicerCacheDefinition>
</file>

<file path=xl/slicerCaches/slicerCache9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ound_of_Average3112" xr10:uid="{F6F589CE-F68E-43C3-8088-8C9CA4C68B63}" sourceName="Round of Average">
  <extLst>
    <x:ext xmlns:x15="http://schemas.microsoft.com/office/spreadsheetml/2010/11/main" uri="{2F2917AC-EB37-4324-AD4E-5DD8C200BD13}">
      <x15:tableSlicerCache tableId="27" column="7"/>
    </x:ext>
  </extLst>
</slicerCacheDefinition>
</file>

<file path=xl/slicerCaches/slicerCache96.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Assignment112" xr10:uid="{8B988291-1AE6-4269-AA46-ECAB36CF18FF}" sourceName="Assignment">
  <extLst>
    <x:ext xmlns:x15="http://schemas.microsoft.com/office/spreadsheetml/2010/11/main" uri="{2F2917AC-EB37-4324-AD4E-5DD8C200BD13}">
      <x15:tableSlicerCache tableId="27" column="13"/>
    </x:ext>
  </extLst>
</slicerCacheDefinition>
</file>

<file path=xl/slicerCaches/slicerCache97.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Final3112" xr10:uid="{57DC02A2-08D0-42B1-955A-4099780E48DA}" sourceName="Final">
  <extLst>
    <x:ext xmlns:x15="http://schemas.microsoft.com/office/spreadsheetml/2010/11/main" uri="{2F2917AC-EB37-4324-AD4E-5DD8C200BD13}">
      <x15:tableSlicerCache tableId="27" column="14"/>
    </x:ext>
  </extLst>
</slicerCacheDefinition>
</file>

<file path=xl/slicerCaches/slicerCache98.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Total3112" xr10:uid="{B1E3A44B-8632-4542-AFA8-E2F912172AB7}" sourceName="Total">
  <extLst>
    <x:ext xmlns:x15="http://schemas.microsoft.com/office/spreadsheetml/2010/11/main" uri="{2F2917AC-EB37-4324-AD4E-5DD8C200BD13}">
      <x15:tableSlicerCache tableId="27" column="17"/>
    </x:ext>
  </extLst>
</slicerCacheDefinition>
</file>

<file path=xl/slicerCaches/slicerCache99.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Grade_Scale3112" xr10:uid="{F0B6E843-0DD5-4534-9E52-7B929571137E}" sourceName="Grade Scale">
  <extLst>
    <x:ext xmlns:x15="http://schemas.microsoft.com/office/spreadsheetml/2010/11/main" uri="{2F2917AC-EB37-4324-AD4E-5DD8C200BD13}">
      <x15:tableSlicerCache tableId="27" column="18"/>
    </x:ext>
  </extLst>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oll No" xr10:uid="{517BE4ED-0561-44FC-8304-A6D8C7C8020C}" cache="Slicer_Roll_No" caption="Roll No" style="SlicerStyleLight2" rowHeight="241300"/>
  <slicer name="Department" xr10:uid="{9FFF3FC0-5375-46AC-A885-D5EFA4374824}" cache="Slicer_Department" caption="Department" style="SlicerStyleLight2" rowHeight="241300"/>
</slicers>
</file>

<file path=xl/slicers/slicer10.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mployee ID 2" xr10:uid="{6DEDE09D-A399-4CF1-916E-CA944CD0B2BF}" cache="Slicer_Employee_ID2" caption="Employee ID" rowHeight="241300"/>
  <slicer name="Name of Employee 1" xr10:uid="{10DE50E9-50D2-4CE0-95D6-FC169A9BC4D6}" cache="Slicer_Name_of_Employee1" caption="Name of Employee" rowHeight="241300"/>
  <slicer name="Employee Salary 1" xr10:uid="{636E363E-DFFB-4860-B76C-A22E24F89539}" cache="Slicer_Employee_Salary1" caption="Gross Salary" style="SlicerStyleLight6" rowHeight="241300"/>
  <slicer name="Net Salary" xr10:uid="{DCFC4113-5996-420C-9214-61C194FA53F6}" cache="Slicer_Net_Salary" caption="Net Salary" startItem="20" style="SlicerStyleLight6"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oll No 1" xr10:uid="{491A1D08-39EA-42CB-9DE3-DF168B5585FA}" cache="Slicer_Roll_No1" caption="Roll No" style="SlicerStyleOther1" rowHeight="241300"/>
  <slicer name="Total Subject CGPA" xr10:uid="{6A09ED42-BAB1-4890-B071-F2DF3CF00A81}" cache="Slicer_Total_Subject_CGPA" caption="1st Semester (SGPA)" style="SlicerStyleOther1" rowHeight="241300"/>
  <slicer name="Roll No 2" xr10:uid="{06BBD318-FE1B-47D3-8C43-883B41A09CFD}" cache="Slicer_Roll_No2" caption="Roll No" rowHeight="241300"/>
  <slicer name="Round of Average" xr10:uid="{0FB4913D-AE2F-4DD0-8A87-7CA2A7269115}" cache="Slicer_Round_of_Average" caption="Round of Average" rowHeight="241300"/>
  <slicer name="Midterm" xr10:uid="{7352E6B9-2C9C-4713-9AA7-61AD60BBC47B}" cache="Slicer_Midterm" caption="Midterm" rowHeight="241300"/>
  <slicer name="Final" xr10:uid="{EACE7CD1-D4AB-4E4F-9A1C-C970FBB4DC60}" cache="Slicer_Final" caption="Final" rowHeight="241300"/>
  <slicer name="Total" xr10:uid="{BDE03454-26C2-4A90-9F89-AFC33FE85D16}" cache="Slicer_Total" caption="Total" rowHeight="241300"/>
  <slicer name="Grade Scale" xr10:uid="{B06CD750-1936-491C-B3FF-181E4A29C2C1}" cache="Slicer_Grade_Scale" caption="Grade Scale" rowHeight="241300"/>
  <slicer name="Grade Point 1" xr10:uid="{25DE942A-66A9-4650-88FB-0D637BD5AB8B}" cache="Slicer_Grade_Point1" caption="Grade Point" rowHeight="241300"/>
  <slicer name="Roll No 3" xr10:uid="{FE55AA38-8208-4D4A-B98B-43246412FF9D}" cache="Slicer_Roll_No3" caption="Roll No" rowHeight="241300"/>
  <slicer name="Round of Average 1" xr10:uid="{7F2A4A4D-77CB-4491-B9B7-BD80F9515B53}" cache="Slicer_Round_of_Average1" caption="Round of Average" rowHeight="241300"/>
  <slicer name="Midterm 1" xr10:uid="{34F99CE6-D991-417A-ABB8-AC5BB492794C}" cache="Slicer_Midterm1" caption="Midterm" rowHeight="241300"/>
  <slicer name="Final 1" xr10:uid="{C261CAF4-2A92-46B9-B0D8-63A7259576A3}" cache="Slicer_Final1" caption="Final" rowHeight="241300"/>
  <slicer name="Total 1" xr10:uid="{00E5D52B-AA8C-4FF5-AC6D-AA0012AD03B9}" cache="Slicer_Total1" caption="Total" rowHeight="241300"/>
  <slicer name="Grade Scale 1" xr10:uid="{8B8034E9-929C-49F1-9405-A360238428B2}" cache="Slicer_Grade_Scale1" caption="Grade Scale" rowHeight="241300"/>
  <slicer name="Grade Point 2" xr10:uid="{979ADCB4-404F-4283-A872-AE26F5712593}" cache="Slicer_Grade_Point2" caption="Grade Point" rowHeight="241300"/>
  <slicer name="Roll No 4" xr10:uid="{ADDE9AAE-A6B8-41A0-8D55-093CC25E67A7}" cache="Slicer_Roll_No4" caption="Roll No" rowHeight="241300"/>
  <slicer name="Round of Average 2" xr10:uid="{FBFD0163-FCCF-4114-97EE-D33F777DD369}" cache="Slicer_Round_of_Average2" caption="Round of Average" rowHeight="241300"/>
  <slicer name="Midterm 2" xr10:uid="{6B33FEAB-3F50-48D2-93ED-EF46A7BEE485}" cache="Slicer_Midterm2" caption="Midterm" rowHeight="241300"/>
  <slicer name="Final 2" xr10:uid="{B5D891E1-A78D-454F-BAA9-F34AB46A62A0}" cache="Slicer_Final2" caption="Final" rowHeight="241300"/>
  <slicer name="Total 2" xr10:uid="{94C3BFF3-D629-4689-877F-98E3953CF70B}" cache="Slicer_Total2" caption="Total" rowHeight="241300"/>
  <slicer name="Grade Scale 2" xr10:uid="{D039400D-0459-44DC-AD03-DA718E0DA6DB}" cache="Slicer_Grade_Scale2" caption="Grade Scale" rowHeight="241300"/>
  <slicer name="Grade Point 3" xr10:uid="{DA615FB9-7126-4A14-A03B-80A099FE6504}" cache="Slicer_Grade_Point3" caption="Grade Point" rowHeight="241300"/>
  <slicer name="Roll No 5" xr10:uid="{0A3BC820-F797-49B0-93DA-63475892922A}" cache="Slicer_Roll_No5" caption="Roll No" rowHeight="241300"/>
  <slicer name="Round of Average 3" xr10:uid="{D5A928DF-02F3-44E8-A570-E1D451F455DF}" cache="Slicer_Round_of_Average3" caption="Round of Average" rowHeight="241300"/>
  <slicer name="Assignment" xr10:uid="{F3C5102A-D07A-41FE-B989-856720854592}" cache="Slicer_Assignment" caption="Assignment" rowHeight="241300"/>
  <slicer name="Final 3" xr10:uid="{82DAC4D9-FBD2-41A7-B178-C7DDA40477EE}" cache="Slicer_Final3" caption="Final" rowHeight="241300"/>
  <slicer name="Total 3" xr10:uid="{1BBEE1C4-30F4-406B-8768-99CA4F39C59C}" cache="Slicer_Total3" caption="Total" rowHeight="241300"/>
  <slicer name="Grade Scale 3" xr10:uid="{FAAE0D44-60AF-4570-8D54-072BDAD4E1D8}" cache="Slicer_Grade_Scale3" caption="Grade Scale" rowHeight="241300"/>
  <slicer name="Grade Point 4" xr10:uid="{E9986523-EC39-415D-923A-B3173F88F408}" cache="Slicer_Grade_Point4" caption="Grade Point" rowHeight="24130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oll No 6" xr10:uid="{48D64FB0-AFFF-446E-9B5F-83611B4FD88E}" cache="Slicer_Roll_No11" caption="Roll No" style="SlicerStyleOther1" rowHeight="241300"/>
  <slicer name="Roll No 7" xr10:uid="{900791A8-8ED1-4AC8-AADC-D7C3D48DD385}" cache="Slicer_Roll_No21" caption="Roll No" rowHeight="241300"/>
  <slicer name="Round of Average 4" xr10:uid="{2FFFAE24-6BF7-4EE1-8FB2-7615321C2B9D}" cache="Slicer_Round_of_Average4" caption="Round of Average" rowHeight="241300"/>
  <slicer name="Midterm 3" xr10:uid="{4EB3C35D-924B-4AC3-A052-DDF88284FF1D}" cache="Slicer_Midterm3" caption="Midterm" rowHeight="241300"/>
  <slicer name="Final 4" xr10:uid="{8A322493-C1BC-4948-98AA-D0C08545C0C3}" cache="Slicer_Final4" caption="Final" rowHeight="241300"/>
  <slicer name="Total 4" xr10:uid="{2E5078B3-742D-4FE7-B81F-B003462251A9}" cache="Slicer_Total4" caption="Total" rowHeight="241300"/>
  <slicer name="Grade Scale 4" xr10:uid="{83BBE9FA-3F3D-4E57-8239-8E9573F816B0}" cache="Slicer_Grade_Scale4" caption="Grade Scale" rowHeight="241300"/>
  <slicer name="Grade Point 6" xr10:uid="{C1C1A777-C180-498F-A117-267D2E055BAE}" cache="Slicer_Grade_Point11" caption="Grade Point" rowHeight="241300"/>
  <slicer name="Roll No 10" xr10:uid="{03210B46-1013-45DF-8E7E-90B92C707893}" cache="Slicer_Roll_No51" caption="Roll No" rowHeight="241300"/>
  <slicer name="Round of Average 7" xr10:uid="{F4F89255-14D5-4E4C-97F2-7119A42A8F70}" cache="Slicer_Round_of_Average31" caption="Round of Average" rowHeight="241300"/>
  <slicer name="Assignment 1" xr10:uid="{2456AC76-B132-4824-9183-13972E5B0F4D}" cache="Slicer_Assignment1" caption="Assignment" rowHeight="241300"/>
  <slicer name="Final 7" xr10:uid="{F03AAABD-D3AB-47A7-8F17-CFC074FD89B4}" cache="Slicer_Final31" caption="Final" rowHeight="241300"/>
  <slicer name="Total 7" xr10:uid="{5F8DF7BC-64E0-41F5-9C64-369A2C97D14D}" cache="Slicer_Total31" caption="Total" rowHeight="241300"/>
  <slicer name="Grade Scale 7" xr10:uid="{94C0156C-440C-4CC8-AE26-550DE4ECA389}" cache="Slicer_Grade_Scale31" caption="Grade Scale" rowHeight="241300"/>
  <slicer name="Grade Point 9" xr10:uid="{288B5D46-582C-4B4C-B337-E2CA1A84A8BF}" cache="Slicer_Grade_Point41" caption="Grade Point" rowHeight="241300"/>
  <slicer name="Roll No 16" xr10:uid="{1A71EF7B-DB62-4614-9144-62390D241048}" cache="Slicer_Roll_No511" caption="Roll No" rowHeight="241300"/>
  <slicer name="Round of Average 12" xr10:uid="{43264EE1-82B1-4FA5-BD6D-69D499EB8D1F}" cache="Slicer_Round_of_Average311" caption="Round of Average" rowHeight="241300"/>
  <slicer name="Assignment 3" xr10:uid="{C0F027BB-F49E-4865-A302-5B856BA0CB14}" cache="Slicer_Assignment11" caption="Assignment" rowHeight="241300"/>
  <slicer name="Final 12" xr10:uid="{514B370C-672C-4F73-9E2E-F3F3BD82157C}" cache="Slicer_Final311" caption="Final" rowHeight="241300"/>
  <slicer name="Total 12" xr10:uid="{D6855650-9D0A-4109-8228-5A2F17F61E9D}" cache="Slicer_Total311" caption="Total" rowHeight="241300"/>
  <slicer name="Grade Scale 12" xr10:uid="{33D6C525-4A27-4C1D-8BDB-3FDB3A06B289}" cache="Slicer_Grade_Scale311" caption="Grade Scale" rowHeight="241300"/>
  <slicer name="Grade Point 15" xr10:uid="{4A117203-DB09-41D3-8AF7-AA934E3BF0C1}" cache="Slicer_Grade_Point411" caption="Grade Point" rowHeight="241300"/>
  <slicer name="Roll No 17" xr10:uid="{1B7C224F-D317-4BF6-824A-A1395D9480C3}" cache="Slicer_Roll_No5111" caption="Roll No" rowHeight="241300"/>
  <slicer name="Round of Average 13" xr10:uid="{62C10854-F140-4B5D-90A6-3B64B0992593}" cache="Slicer_Round_of_Average3111" caption="Lab Perfomance" rowHeight="241300"/>
  <slicer name="Assignment 4" xr10:uid="{CBBE329B-B9FC-47C1-9AE0-CF83567ED07A}" cache="Slicer_Assignment111" caption="Assignment" rowHeight="241300"/>
  <slicer name="Final 13" xr10:uid="{C601EED3-A1B6-4E8A-834C-D460E6945483}" cache="Slicer_Final3111" caption="Final" rowHeight="241300"/>
  <slicer name="Total 13" xr10:uid="{518A1705-E386-4DA4-8CBE-1DCA104F25CC}" cache="Slicer_Total3111" caption="Total" rowHeight="241300"/>
  <slicer name="Grade Scale 13" xr10:uid="{F2BB53B8-6009-42F3-B73F-3C24A15C1D06}" cache="Slicer_Grade_Scale3111" caption="Grade Scale" rowHeight="241300"/>
  <slicer name="Grade Point 16" xr10:uid="{71BFFF83-5498-44CF-B643-A6965B008BD1}" cache="Slicer_Grade_Point4111" caption="Grade Point" rowHeight="241300"/>
  <slicer name="Roll No 18" xr10:uid="{50A8567C-9BC5-4065-9816-2DA71B7B0653}" cache="Slicer_Roll_No51111" caption="Roll No" rowHeight="241300"/>
  <slicer name="Round of Average 14" xr10:uid="{4EEAAB17-2FD2-4F29-933A-A74A16CC17FE}" cache="Slicer_Round_of_Average31111" caption="Lab Perfomance" rowHeight="241300"/>
  <slicer name="Assignment 5" xr10:uid="{81EAA05C-93BB-41BB-BA48-F135F8616ED3}" cache="Slicer_Assignment1111" caption="Assignment" rowHeight="241300"/>
  <slicer name="Final 14" xr10:uid="{7E8DA058-B166-47F0-93EB-7F342BDECA40}" cache="Slicer_Final31111" caption="Final" rowHeight="241300"/>
  <slicer name="Total 14" xr10:uid="{5A8DA69E-F538-4986-B106-3D5BD3DF5815}" cache="Slicer_Total31111" caption="Total" rowHeight="241300"/>
  <slicer name="Grade Scale 14" xr10:uid="{1F040C8B-F020-4E8A-AD9E-E1F9C6DAA191}" cache="Slicer_Grade_Scale31111" caption="Grade Scale" rowHeight="241300"/>
  <slicer name="Grade Point 17" xr10:uid="{FF8FC928-D5B1-4629-9D13-452AB90EE357}" cache="Slicer_Grade_Point41111" caption="Grade Point" rowHeight="241300"/>
  <slicer name="Total Subject CGPA 1" xr10:uid="{6F5A26C6-FCDF-43D2-A447-C9661C3173C4}" cache="Slicer_Total_Subject_CGPA1" caption="2nd Semester (SGPA)" style="SlicerStyleOther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oll No 8" xr10:uid="{CFC62D82-D196-4B61-8EA6-5E208448ACA4}" cache="Slicer_Roll_No111" caption="Roll No" style="SlicerStyleOther1" rowHeight="241300"/>
  <slicer name="Roll No 9" xr10:uid="{64F724F8-A1E2-4CBF-82FA-9ED4877A84C7}" cache="Slicer_Roll_No211" caption="Roll No" rowHeight="241300"/>
  <slicer name="Round of Average 5" xr10:uid="{7322AF08-0C1E-41B2-AA69-37CE176103B0}" cache="Slicer_Round_of_Average41" caption="Round of Average" rowHeight="241300"/>
  <slicer name="Midterm 4" xr10:uid="{DC06072E-9920-41D9-B78A-080D609249EB}" cache="Slicer_Midterm31" caption="Midterm" rowHeight="241300"/>
  <slicer name="Final 5" xr10:uid="{B7F093FF-29FA-482A-B93C-009C894128DE}" cache="Slicer_Final41" caption="Final" rowHeight="241300"/>
  <slicer name="Total 5" xr10:uid="{79B3EA7C-8D73-40D9-8582-B0C25D863BBB}" cache="Slicer_Total41" caption="Total" rowHeight="241300"/>
  <slicer name="Grade Scale 5" xr10:uid="{EF3A221E-6DD3-413F-83B0-BD4F41300865}" cache="Slicer_Grade_Scale41" caption="Grade Scale" rowHeight="241300"/>
  <slicer name="Grade Point 7" xr10:uid="{40AE475F-5499-49C4-812A-D167CE589857}" cache="Slicer_Grade_Point111" caption="Grade Point" rowHeight="241300"/>
  <slicer name="Roll No 19" xr10:uid="{E2482FD9-DD5E-46D8-9972-CF54252EF8DB}" cache="Slicer_Roll_No512" caption="Roll No" rowHeight="241300"/>
  <slicer name="Round of Average 15" xr10:uid="{90C990C8-0A74-4DFD-BAD5-5EBBD13E6551}" cache="Slicer_Round_of_Average312" caption="Round of Average" rowHeight="241300"/>
  <slicer name="Assignment 6" xr10:uid="{86E9F3F8-C5B7-4CFE-8C9F-A69EA91FD3A6}" cache="Slicer_Assignment12" caption="Assignment" rowHeight="241300"/>
  <slicer name="Final 15" xr10:uid="{6B1A6FEA-E72A-4B2F-B8A2-0F41F2D531B5}" cache="Slicer_Final312" caption="Final" rowHeight="241300"/>
  <slicer name="Total 15" xr10:uid="{FB380267-5453-4036-B916-3988BC188FEF}" cache="Slicer_Total312" caption="Total" rowHeight="241300"/>
  <slicer name="Grade Scale 15" xr10:uid="{30A4D39E-8F6B-4C34-BAC2-E2458210277D}" cache="Slicer_Grade_Scale312" caption="Grade Scale" rowHeight="241300"/>
  <slicer name="Grade Point 18" xr10:uid="{19D79E22-3B59-4EF4-9907-072C07D4F908}" cache="Slicer_Grade_Point412" caption="Grade Point" rowHeight="241300"/>
  <slicer name="Roll No 20" xr10:uid="{AC0EE167-BDFE-45E4-BAEC-1E183E0BD9DC}" cache="Slicer_Roll_No5112" caption="Roll No" rowHeight="241300"/>
  <slicer name="Round of Average 16" xr10:uid="{80FCB942-9AB5-4770-A364-711C7B009985}" cache="Slicer_Round_of_Average3112" caption="Round of Average" rowHeight="241300"/>
  <slicer name="Assignment 7" xr10:uid="{C986B854-F878-4E11-AF38-A8F50F928862}" cache="Slicer_Assignment112" caption="Assignment" rowHeight="241300"/>
  <slicer name="Final 16" xr10:uid="{931A4CF9-F545-4942-8513-F846706E2E6A}" cache="Slicer_Final3112" caption="Final" rowHeight="241300"/>
  <slicer name="Total 16" xr10:uid="{6264E69D-5E26-48A6-86B5-273D5CB80CF5}" cache="Slicer_Total3112" caption="Total" rowHeight="241300"/>
  <slicer name="Grade Scale 16" xr10:uid="{9438110F-9664-43DA-B2A7-1BD4FFA8ED15}" cache="Slicer_Grade_Scale3112" caption="Grade Scale" rowHeight="241300"/>
  <slicer name="Grade Point 19" xr10:uid="{EB3EF5EB-738F-421D-877F-451675B5CC90}" cache="Slicer_Grade_Point4112" caption="Grade Point" rowHeight="241300"/>
  <slicer name="Roll No 21" xr10:uid="{9FDDAC9D-E599-4E2A-9DE5-DA1840B77A74}" cache="Slicer_Roll_No51112" caption="Roll No" rowHeight="241300"/>
  <slicer name="Round of Average 17" xr10:uid="{54E87002-2DB5-41DF-A8B8-EAF8A53642DE}" cache="Slicer_Round_of_Average31112" caption="Lab Perfomance" rowHeight="241300"/>
  <slicer name="Assignment 8" xr10:uid="{AF012AB9-056A-4F91-84AA-49BA06A3722D}" cache="Slicer_Assignment1112" caption="Assignment" rowHeight="241300"/>
  <slicer name="Final 17" xr10:uid="{D718AED4-CF3F-42EE-8423-41A2838BDA73}" cache="Slicer_Final31112" caption="Final" rowHeight="241300"/>
  <slicer name="Total 17" xr10:uid="{6312D1D1-76B4-4CE3-897A-F5D8AE5548BD}" cache="Slicer_Total31112" caption="Total" rowHeight="241300"/>
  <slicer name="Grade Scale 17" xr10:uid="{E6936214-316B-4542-9A10-328FB9D130C7}" cache="Slicer_Grade_Scale31112" caption="Grade Scale" rowHeight="241300"/>
  <slicer name="Grade Point 20" xr10:uid="{0C998CE3-A449-451C-8DA2-0B9697CC62D2}" cache="Slicer_Grade_Point41112" caption="Grade Point" rowHeight="241300"/>
  <slicer name="Roll No 22" xr10:uid="{C5177053-CB8E-4E16-8352-5510C1C00637}" cache="Slicer_Roll_No511111" caption="Roll No" rowHeight="241300"/>
  <slicer name="Round of Average 18" xr10:uid="{8BBEF1CF-7FA7-41A4-AE4F-2080F67AA017}" cache="Slicer_Round_of_Average311111" caption="Lab Perfomance" rowHeight="241300"/>
  <slicer name="Assignment 9" xr10:uid="{941CC1D3-4985-445D-BCDB-E593165BF1A8}" cache="Slicer_Assignment11111" caption="Assignment" rowHeight="241300"/>
  <slicer name="Final 18" xr10:uid="{036C2327-1FBB-4125-AE63-E3E73154B1F9}" cache="Slicer_Final311111" caption="Final" rowHeight="241300"/>
  <slicer name="Total 18" xr10:uid="{8B64539C-A00A-47A1-A1E3-4831DB041CA2}" cache="Slicer_Total311111" caption="Total" rowHeight="241300"/>
  <slicer name="Grade Scale 18" xr10:uid="{DF4E1501-3E98-4484-99A6-0E6F32BF4D89}" cache="Slicer_Grade_Scale311111" caption="Grade Scale" rowHeight="241300"/>
  <slicer name="Grade Point 21" xr10:uid="{0ABC5DE9-3A23-490B-8110-69BEEE6EA260}" cache="Slicer_Grade_Point411111" caption="Grade Point" rowHeight="241300"/>
  <slicer name="Total Subject CGPA 3" xr10:uid="{DCCC7EF8-4FC8-4FAA-9401-D088210987D9}" cache="Slicer_Total_Subject_CGPA11" caption="3rd Semester (SGPA)" style="SlicerStyleOther1" rowHeight="241300"/>
  <slicer name="Roll No 28" xr10:uid="{D6F40805-8C3F-42F0-B65E-4CFA0C256693}" cache="Slicer_Roll_No6" caption="Roll No" rowHeight="241300"/>
  <slicer name="Round of Average 22" xr10:uid="{13B6A5A0-F799-401E-BDB4-A135A410A7F0}" cache="Slicer_Round_of_Average6" caption="Round of Average" rowHeight="241300"/>
  <slicer name="Midterm 9" xr10:uid="{4001E225-5656-48AE-AF30-883C92565F02}" cache="Slicer_Midterm5" caption="Midterm" rowHeight="241300"/>
  <slicer name="Final 22" xr10:uid="{55F0BBD2-2A7F-485C-AB8E-92629F2B601A}" cache="Slicer_Final6" caption="Final" rowHeight="241300"/>
  <slicer name="Total 22" xr10:uid="{E4F9EA58-1A58-4297-BE20-13D32149E30E}" cache="Slicer_Total6" caption="Total" rowHeight="241300"/>
  <slicer name="Grade Scale 22" xr10:uid="{DD3829D9-0188-4FC7-A54D-A5A39FFD272A}" cache="Slicer_Grade_Scale6" caption="Grade Scale" rowHeight="241300"/>
  <slicer name="Grade Point" xr10:uid="{227323CA-41AB-449C-B776-31AFE8119670}" cache="Slicer_Grade_Point" caption="Grade Point" rowHeight="24130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oll No 23" xr10:uid="{BFFE0D5F-7FA0-4817-B991-173D71A7921C}" cache="Slicer_Roll_No1111" caption="Roll No" style="SlicerStyleOther1" rowHeight="241300"/>
  <slicer name="Roll No 24" xr10:uid="{FF2732DD-04A5-48C0-8004-2DF874495A8E}" cache="Slicer_Roll_No2111" caption="Roll No" rowHeight="241300"/>
  <slicer name="Round of Average 6" xr10:uid="{07A6D8C7-0E42-4B75-9720-D431C0C08FD9}" cache="Slicer_Round_of_Average411" caption="Round of Average" rowHeight="241300"/>
  <slicer name="Midterm 5" xr10:uid="{AF735C2C-B932-47D5-9675-29F2F39797E7}" cache="Slicer_Midterm311" caption="Midterm" rowHeight="241300"/>
  <slicer name="Final 6" xr10:uid="{CD4C2B46-4C27-4819-BDB4-16F316BC2B12}" cache="Slicer_Final411" caption="Final" rowHeight="241300"/>
  <slicer name="Total 6" xr10:uid="{261780B3-10AA-45C9-A57A-004EB435FC7E}" cache="Slicer_Total411" caption="Total" rowHeight="241300"/>
  <slicer name="Grade Scale 6" xr10:uid="{61F074F5-A931-4561-A7FD-A922D5ABFC83}" cache="Slicer_Grade_Scale411" caption="Grade Scale" rowHeight="241300"/>
  <slicer name="Grade Point 22" xr10:uid="{566DAE1E-1E35-4F13-9ACD-615604AA8012}" cache="Slicer_Grade_Point1111" caption="Grade Point" rowHeight="241300"/>
  <slicer name="Roll No 25" xr10:uid="{93FA6113-1BB3-46C8-97FB-C4937953D7A6}" cache="Slicer_Roll_No5121" caption="Roll No" rowHeight="241300"/>
  <slicer name="Round of Average 19" xr10:uid="{475BC095-0A96-4A4E-9343-39A73E4EB66A}" cache="Slicer_Round_of_Average3121" caption="Round of Average" rowHeight="241300"/>
  <slicer name="Assignment 10" xr10:uid="{2BF97ED7-3C6E-4C18-870D-D855A44D6298}" cache="Slicer_Assignment121" caption="Assignment" rowHeight="241300"/>
  <slicer name="Final 19" xr10:uid="{CF95892A-1E7F-419A-AEB1-835781AA4DBD}" cache="Slicer_Final3121" caption="Final" rowHeight="241300"/>
  <slicer name="Total 19" xr10:uid="{A00508BB-5432-416B-8148-3C69CF036A6B}" cache="Slicer_Total3121" caption="Total" rowHeight="241300"/>
  <slicer name="Grade Scale 19" xr10:uid="{A5F154C3-8A58-4352-826B-E6A623E1AC08}" cache="Slicer_Grade_Scale3121" caption="Grade Scale" rowHeight="241300"/>
  <slicer name="Grade Point 23" xr10:uid="{A5D253ED-0DC4-4E41-8CED-202F5DFC88D0}" cache="Slicer_Grade_Point4121" caption="Grade Point" rowHeight="241300"/>
  <slicer name="Roll No 26" xr10:uid="{908AEF97-AA3D-4FA3-8549-B0D132DC3F0A}" cache="Slicer_Roll_No51121" caption="Roll No" rowHeight="241300"/>
  <slicer name="Round of Average 20" xr10:uid="{8CA299AE-C0C1-4D5E-846E-4DA16373B252}" cache="Slicer_Round_of_Average31121" caption="Round of Average" rowHeight="241300"/>
  <slicer name="Assignment 11" xr10:uid="{3E0FC077-707E-4109-8BCE-43ABC8A0F306}" cache="Slicer_Assignment1121" caption="Assignment" rowHeight="241300"/>
  <slicer name="Final 20" xr10:uid="{BF46AD34-B833-4932-A03E-1AA621F8D2AE}" cache="Slicer_Final31121" caption="Final" rowHeight="241300"/>
  <slicer name="Total 20" xr10:uid="{5A6F6C07-15DF-4AE0-BAE9-A119221B3E39}" cache="Slicer_Total31121" caption="Total" rowHeight="241300"/>
  <slicer name="Grade Scale 20" xr10:uid="{DFE8D907-42B8-4B57-A2DD-DEDBDB5C7BBF}" cache="Slicer_Grade_Scale31121" caption="Grade Scale" rowHeight="241300"/>
  <slicer name="Grade Point 24" xr10:uid="{54D08D3C-C76D-4794-8734-8955C696FAD3}" cache="Slicer_Grade_Point41121" caption="Grade Point" rowHeight="241300"/>
  <slicer name="Roll No 27" xr10:uid="{41FEDF70-FF90-4907-A3EB-3137AAEDD0D7}" cache="Slicer_Roll_No511121" caption="Roll No" rowHeight="241300"/>
  <slicer name="Round of Average 21" xr10:uid="{F1471292-E207-475D-B7D3-9DEEB2884B73}" cache="Slicer_Round_of_Average311121" caption="Lab Perfomance" rowHeight="241300"/>
  <slicer name="Assignment 12" xr10:uid="{EE993DA0-8A0B-4791-8638-B8C69094B628}" cache="Slicer_Assignment11121" caption="Assignment" rowHeight="241300"/>
  <slicer name="Final 21" xr10:uid="{301F48DF-B15D-40EC-9A12-33378BEBA67C}" cache="Slicer_Final311121" caption="Final" rowHeight="241300"/>
  <slicer name="Total 21" xr10:uid="{71856890-2E07-4B05-96E6-A9F6025AF1E7}" cache="Slicer_Total311121" caption="Total" rowHeight="241300"/>
  <slicer name="Grade Scale 21" xr10:uid="{386741B9-81FE-4C88-B793-ACC893E41918}" cache="Slicer_Grade_Scale311121" caption="Grade Scale" rowHeight="241300"/>
  <slicer name="Grade Point 25" xr10:uid="{945C53BA-8C8A-40EC-9349-6FA74A89DE13}" cache="Slicer_Grade_Point411121" caption="Grade Point" rowHeight="241300"/>
  <slicer name="Total Subject CGPA 4" xr10:uid="{2E2648DB-EA0D-43A8-889A-D32C35A61652}" cache="Slicer_Total_Subject_CGPA111" caption="4th Semester (SGPA)" style="SlicerStyleOther1" rowHeight="24130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Roll No 15" xr10:uid="{584D8B8D-A3BA-4F09-8128-85DB12273AD0}" cache="Slicer_Roll_No52" caption="Roll No" rowHeight="241300"/>
  <slicer name="Grade Point 14" xr10:uid="{E0427677-B292-40D9-B4FA-8B775058FBF4}" cache="Slicer_Grade_Point42" caption="Grade Point" rowHeight="241300"/>
  <slicer name="Assignment 2" xr10:uid="{0159E87C-3BAF-47D3-B4EC-C05A5F02DE51}" cache="Slicer_Assignment2" caption="Assignment" rowHeight="241300"/>
  <slicer name="Final 11" xr10:uid="{DA73A0A4-EB24-4C58-85F2-263AD3B97BAF}" cache="Slicer_Final32" caption="Final" rowHeight="241300"/>
  <slicer name="Grade Scale 11" xr10:uid="{E81CAF89-CE08-445D-9921-51CFB9B5CEEA}" cache="Slicer_Grade_Scale32" caption="Grade Scale" rowHeight="241300"/>
  <slicer name="Round of Average 11" xr10:uid="{94086D54-8A53-40A6-A6D3-7457E28EF7B0}" cache="Slicer_Round_of_Average32" caption="Round of Average" rowHeight="241300"/>
  <slicer name="Total 11" xr10:uid="{EEBBEC48-D75C-4892-B611-128698BFBF22}" cache="Slicer_Total32" caption="Total" rowHeight="241300"/>
  <slicer name="Grade Point 12" xr10:uid="{4C6C41CD-BAA5-4AA1-A10A-FF13C4F9EBB3}" cache="Slicer_Grade_Point22" caption="Grade Point" rowHeight="241300"/>
  <slicer name="Round of Average 9" xr10:uid="{DF259BF8-493D-4631-BB2E-3070907E4E4A}" cache="Slicer_Round_of_Average12" caption="Round of Average" rowHeight="241300"/>
  <slicer name="Final 9" xr10:uid="{2818614B-4058-491E-92CD-A12177BC649B}" cache="Slicer_Final12" caption="Final" rowHeight="241300"/>
  <slicer name="Roll No 13" xr10:uid="{CECEF137-652E-403D-8730-0627874E6129}" cache="Slicer_Roll_No32" caption="Roll No" rowHeight="241300"/>
  <slicer name="Midterm 7" xr10:uid="{1C8C1A65-96A0-4245-BD0A-427E7713C7E3}" cache="Slicer_Midterm12" caption="Midterm" rowHeight="241300"/>
  <slicer name="Total 9" xr10:uid="{913844FD-677B-4729-B97C-9EE80BFC5556}" cache="Slicer_Total12" caption="Total" rowHeight="241300"/>
  <slicer name="Grade Scale 9" xr10:uid="{C1123307-662C-4B79-BEB7-0B5D44B58D0D}" cache="Slicer_Grade_Scale12" caption="Grade Scale" rowHeight="241300"/>
  <slicer name="Roll No 11" xr10:uid="{CFD145C4-3E57-4AB9-A0F1-76190A7A17E7}" cache="Slicer_Roll_No12" caption="Roll No" style="SlicerStyleOther1" rowHeight="241300"/>
  <slicer name="Total Subject CGPA 2" xr10:uid="{0F4B97F3-956C-45AD-AD97-D909A2B4BC29}" cache="Slicer_Total_Subject_CGPA2" caption="5th Semester (SGPA)" style="SlicerStyleOther1" rowHeight="241300"/>
  <slicer name="Total 8" xr10:uid="{537EF876-85DD-4E81-A33A-5A7B2FBEF400}" cache="Slicer_Total5" caption="Total" rowHeight="241300"/>
  <slicer name="Grade Scale 8" xr10:uid="{6FC7215D-7724-47EC-9191-76D7CA3DF723}" cache="Slicer_Grade_Scale5" caption="Grade Scale" rowHeight="241300"/>
  <slicer name="Round of Average 8" xr10:uid="{528A9D7D-CBAD-490D-9792-F1983CFEF5A9}" cache="Slicer_Round_of_Average5" caption="Round of Average" rowHeight="241300"/>
  <slicer name="Roll No 12" xr10:uid="{83AE550C-1C11-4EDF-8D62-129E937E790B}" cache="Slicer_Roll_No22" caption="Roll No" rowHeight="241300"/>
  <slicer name="Grade Point 11" xr10:uid="{95D1C4F3-72AE-4541-8155-F97049FA7847}" cache="Slicer_Grade_Point12" caption="Grade Point" rowHeight="241300"/>
  <slicer name="Midterm 6" xr10:uid="{5F0880FE-CF97-4E42-915A-1FBB75788F89}" cache="Slicer_Midterm4" caption="Midterm" rowHeight="241300"/>
  <slicer name="Final 8" xr10:uid="{F6FCECF4-A959-4CDD-B3AA-3CDAF907AE88}" cache="Slicer_Final5" caption="Final" rowHeight="241300"/>
</slicers>
</file>

<file path=xl/slicers/slicer7.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mployee ID" xr10:uid="{718B1476-7001-47E7-A47A-7C7768B96C46}" cache="Slicer_Employee_ID" caption="Employee ID" style="SlicerStyleLight6" rowHeight="241300"/>
  <slicer name="Department 1" xr10:uid="{DFB5A6B9-C755-412C-B923-F2AD3ED9D99A}" cache="Slicer_Department1" caption="Title" style="SlicerStyleLight6" rowHeight="241300"/>
</slicers>
</file>

<file path=xl/slicers/slicer8.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mployee ID 3" xr10:uid="{955CD5C0-DD09-4B00-B4FE-B72027ED9194}" cache="Slicer_Employee_ID11" caption="Employee ID" rowHeight="241300"/>
  <slicer name="Name of Employee 2" xr10:uid="{0BE392CF-A8F0-43DA-AFBE-17327553BF17}" cache="Slicer_Name_of_Employee2" caption="Name of Employee" rowHeight="241300"/>
  <slicer name="Employee Salary 2" xr10:uid="{BE384696-F9DF-4096-8770-4C871B811421}" cache="Slicer_Employee_Salary2" caption="Employee Basic Salary" startItem="8" rowHeight="241300"/>
</slicers>
</file>

<file path=xl/slicers/slicer9.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Employee ID 1" xr10:uid="{36786626-1E16-461B-A64C-44E72E266909}" cache="Slicer_Employee_ID1" caption="Employee ID" rowHeight="241300"/>
  <slicer name="Name of Employee" xr10:uid="{E34B83A9-C0DD-4218-84D5-AD350E1753D6}" cache="Slicer_Name_of_Employee" caption="Name of Employee" rowHeight="241300"/>
  <slicer name="Employee Salary" xr10:uid="{F52B7E71-31FB-4710-A614-2F9D19DE2EA9}" cache="Slicer_Employee_Salary" caption="Employee Basic Salary" rowHeight="241300"/>
  <slicer name="Gross Salary" xr10:uid="{A7D4B3C6-FA2D-4A12-8C01-8DAC02925E21}" cache="Slicer_Gross_Salary" caption="Gross Salary" style="SlicerStyleLight6" rowHeight="2413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6" xr:uid="{3F88FE34-0026-4D40-A081-ECF87F61DC40}" name="Cover_Page" displayName="Cover_Page" ref="X1:X2" insertRow="1" totalsRowShown="0" headerRowDxfId="578" dataDxfId="577">
  <autoFilter ref="X1:X2" xr:uid="{3F88FE34-0026-4D40-A081-ECF87F61DC40}">
    <filterColumn colId="0" hiddenButton="1"/>
  </autoFilter>
  <tableColumns count="1">
    <tableColumn id="1" xr3:uid="{B08B0649-4FC5-4F90-8C48-8FED6C67B926}" name="Column1" dataDxfId="576"/>
  </tableColumns>
  <tableStyleInfo name="TableStyleLight8" showFirstColumn="0" showLastColumn="0" showRowStripes="0" showColumnStripes="0"/>
</table>
</file>

<file path=xl/tables/table1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7D8654E5-3CBE-4B52-B304-CF0BC8D89DE6}" name="Second_Semester_English_II" displayName="Second_Semester_English_II" ref="A62:T91" totalsRowShown="0" headerRowDxfId="459" dataDxfId="458">
  <autoFilter ref="A62:T91" xr:uid="{ED37F320-0130-4BD4-A8D5-81E7C1A6FBE9}"/>
  <tableColumns count="20">
    <tableColumn id="1" xr3:uid="{F1B8A2C2-3886-46F1-8C34-CBD6F425AC99}" name="Roll No" dataDxfId="457"/>
    <tableColumn id="2" xr3:uid="{EAB48C21-E465-4007-AB08-647FE66FE952}" name="Name of Student" dataDxfId="456"/>
    <tableColumn id="3" xr3:uid="{2D86059C-4785-4A21-866D-433CA0A17E17}" name="Quiz 1" dataDxfId="455">
      <calculatedColumnFormula>RANDBETWEEN(3,45)/3</calculatedColumnFormula>
    </tableColumn>
    <tableColumn id="4" xr3:uid="{83452DAF-912C-43F7-9538-1B05A17973A3}" name="Quiz 2" dataDxfId="454">
      <calculatedColumnFormula>RANDBETWEEN(3,45)/3</calculatedColumnFormula>
    </tableColumn>
    <tableColumn id="5" xr3:uid="{2C8E86C0-EF77-42C3-AE68-75853E864491}" name="Quiz 3" dataDxfId="453">
      <calculatedColumnFormula>RANDBETWEEN(3,45)/3</calculatedColumnFormula>
    </tableColumn>
    <tableColumn id="6" xr3:uid="{D7741A48-50A4-4C51-9307-157D19061B2F}" name="Quiz Average" dataDxfId="452"/>
    <tableColumn id="7" xr3:uid="{B20128B9-DEA2-40F1-AC49-E45A10D9446E}" name="Round of Average" dataDxfId="451"/>
    <tableColumn id="8" xr3:uid="{8562A71D-67DF-49B9-A70F-CD4F4E1DCB24}" name="Assignment" dataDxfId="450">
      <calculatedColumnFormula>RANDBETWEEN(2,5)</calculatedColumnFormula>
    </tableColumn>
    <tableColumn id="9" xr3:uid="{09193BEB-D3FA-4C2D-A165-95980844F96D}" name="Presentation" dataDxfId="449">
      <calculatedColumnFormula>RANDBETWEEN(2,8)</calculatedColumnFormula>
    </tableColumn>
    <tableColumn id="10" xr3:uid="{60D04917-030A-4897-9274-2D6ABBB8717B}" name="Attendance" dataDxfId="448">
      <calculatedColumnFormula>RANDBETWEEN(2,7)</calculatedColumnFormula>
    </tableColumn>
    <tableColumn id="11" xr3:uid="{F6A5A4EB-C829-4CF5-BA99-2E22E614E05E}" name="Total out of APA" dataDxfId="447"/>
    <tableColumn id="12" xr3:uid="{1A57AC00-5EE0-4560-BF75-407CF796DCCE}" name="Round of APA" dataDxfId="446"/>
    <tableColumn id="13" xr3:uid="{96FDC383-5CA7-4E21-801A-7BBCCC6F28DD}" name="Midterm" dataDxfId="445">
      <calculatedColumnFormula>RANDBETWEEN(3,50)/2</calculatedColumnFormula>
    </tableColumn>
    <tableColumn id="14" xr3:uid="{8DC9FFB3-70FA-432F-88EE-7D5176F9B9B7}" name="Final" dataDxfId="444">
      <calculatedColumnFormula>RANDBETWEEN(3,80)/2</calculatedColumnFormula>
    </tableColumn>
    <tableColumn id="15" xr3:uid="{5EC66F65-11A9-4D1E-9453-E920B4D953B2}" name="Mid &amp; Final" dataDxfId="443"/>
    <tableColumn id="16" xr3:uid="{0F49B15C-776B-4817-962D-C733B5501971}" name="Round of M &amp; F" dataDxfId="442"/>
    <tableColumn id="17" xr3:uid="{AAA71B38-8265-4F25-A9DC-F8E32965CF55}" name="Total" dataDxfId="441"/>
    <tableColumn id="18" xr3:uid="{203D483A-FB28-4F91-8FFB-6912918A0EAE}" name="Grade Scale" dataDxfId="440"/>
    <tableColumn id="19" xr3:uid="{BE579EA9-405C-4D14-A424-BCF19F2962DC}" name="Grade Point" dataDxfId="439"/>
    <tableColumn id="20" xr3:uid="{81D44232-3DDE-4056-9203-B1A614AE7152}" name="Remarks" dataDxfId="438"/>
  </tableColumns>
  <tableStyleInfo name="TableStyleMedium2" showFirstColumn="0" showLastColumn="0" showRowStripes="1" showColumnStripes="0"/>
</table>
</file>

<file path=xl/tables/table1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8" xr:uid="{D9414ED6-3912-4E6C-B893-61BBE74CBBA4}" name="Second_Semester_SGPA" displayName="Second_Semester_SGPA" ref="A16:T44" totalsRowShown="0" headerRowDxfId="437">
  <autoFilter ref="A16:T44" xr:uid="{44CF9169-B9D9-45E1-B1E8-56ECE303AD82}"/>
  <tableColumns count="20">
    <tableColumn id="1" xr3:uid="{4228A88B-5264-4972-8ACE-C622FE867981}" name="Roll No" dataDxfId="436"/>
    <tableColumn id="2" xr3:uid="{17FA04B0-2795-46C2-B35B-9E216DB76341}" name="Name of Student" dataDxfId="435"/>
    <tableColumn id="3" xr3:uid="{AB1D49BA-2E27-4577-B63F-307251468D04}" name="English Language - II" dataDxfId="434">
      <calculatedColumnFormula>S64</calculatedColumnFormula>
    </tableColumn>
    <tableColumn id="4" xr3:uid="{F3530E23-3A12-417B-AA7A-BCBEF554BA26}" name="English Language - II Credit" dataDxfId="433"/>
    <tableColumn id="19" xr3:uid="{E3532464-A961-47E0-8F87-D3AFE33E40B9}" name="English Language - II (Total Grade + Credit)" dataDxfId="432">
      <calculatedColumnFormula>Second_Semester_SGPA[[#This Row],[English Language - II]]*Second_Semester_SGPA[[#This Row],[English Language - II Credit]]</calculatedColumnFormula>
    </tableColumn>
    <tableColumn id="5" xr3:uid="{0D92DB16-B1CC-48EA-93E4-3C1C5E4AFBE6}" name="Structured Programming" dataDxfId="431">
      <calculatedColumnFormula>O111</calculatedColumnFormula>
    </tableColumn>
    <tableColumn id="6" xr3:uid="{62B82C35-60ED-46F5-8126-6F8DD2F784C0}" name="Structured Programming Credit" dataDxfId="430"/>
    <tableColumn id="20" xr3:uid="{EFEB6D47-C8AA-4613-8C6A-8565FC97E049}" name="Structured Programming (Total Grade + Credit)" dataDxfId="429">
      <calculatedColumnFormula>Second_Semester_SGPA[[#This Row],[Structured Programming]]*Second_Semester_SGPA[[#This Row],[Structured Programming Credit]]</calculatedColumnFormula>
    </tableColumn>
    <tableColumn id="7" xr3:uid="{09689419-8741-4057-BCB3-E87F52FB05CD}" name="Fundamental Website Development" dataDxfId="428">
      <calculatedColumnFormula>O158</calculatedColumnFormula>
    </tableColumn>
    <tableColumn id="8" xr3:uid="{E64C0F44-5662-42D4-8BC2-91BF3C70785C}" name="Fundamental Website Development Credit" dataDxfId="427"/>
    <tableColumn id="21" xr3:uid="{C465467B-1E99-49A3-95E7-073336446E66}" name="Fundamental Website Development (Total Grade + Credit)" dataDxfId="426">
      <calculatedColumnFormula>Second_Semester_SGPA[[#This Row],[Fundamental Website Development]]*Second_Semester_SGPA[[#This Row],[Fundamental Website Development Credit]]</calculatedColumnFormula>
    </tableColumn>
    <tableColumn id="9" xr3:uid="{BC5C605F-9481-4781-8ACA-9E3E5B855641}" name="Structured Programming Lab" dataDxfId="425">
      <calculatedColumnFormula>K205</calculatedColumnFormula>
    </tableColumn>
    <tableColumn id="10" xr3:uid="{A04E76CC-8400-42CF-BC61-C5B71E8E9159}" name="Structured Programming Lab Credit" dataDxfId="424"/>
    <tableColumn id="22" xr3:uid="{2FD1F10E-5316-469B-9239-E7AFD396D316}" name="Structured Programming Lab (Total Grade + Credit)" dataDxfId="423">
      <calculatedColumnFormula>Second_Semester_SGPA[[#This Row],[Structured Programming Lab]]*Second_Semester_SGPA[[#This Row],[Structured Programming Lab Credit]]</calculatedColumnFormula>
    </tableColumn>
    <tableColumn id="11" xr3:uid="{C9A98FE6-7500-4FC0-9D65-B412F93467C5}" name="Fundamental Website Development Lab" dataDxfId="422">
      <calculatedColumnFormula>K252</calculatedColumnFormula>
    </tableColumn>
    <tableColumn id="12" xr3:uid="{185ED019-F861-421C-AD8E-C079CF29DD58}" name="Fundamental Website Development Lab Credit" dataDxfId="421"/>
    <tableColumn id="23" xr3:uid="{52CBB51F-248D-4145-AC40-0AE7C298D374}" name="Fundamental Website Development Lab (Total Grade + Credit)" dataDxfId="420">
      <calculatedColumnFormula>Second_Semester_SGPA[[#This Row],[Fundamental Website Development Lab]]*Second_Semester_SGPA[[#This Row],[Fundamental Website Development Lab Credit]]</calculatedColumnFormula>
    </tableColumn>
    <tableColumn id="13" xr3:uid="{E90BC154-87C3-4050-9553-C598C9DDD419}" name="Total Subject (Total Grade + Credit)" dataDxfId="419">
      <calculatedColumnFormula>SUM(E17,H17,K17,N17,Q17)</calculatedColumnFormula>
    </tableColumn>
    <tableColumn id="14" xr3:uid="{484A0536-5E31-43C3-88A7-F08405AE63B5}" name="Total Subject Credit" dataDxfId="418">
      <calculatedColumnFormula>SUM(D17,G17,J17,M17,P17)</calculatedColumnFormula>
    </tableColumn>
    <tableColumn id="15" xr3:uid="{94CB65A9-ABE2-49B2-9412-F178A8276CAE}" name="2nd Semester (SGPA)" dataDxfId="417">
      <calculatedColumnFormula>Second_Semester_SGPA[[#This Row],[Total Subject (Total Grade + Credit)]]/Second_Semester_SGPA[[#This Row],[Total Subject Credit]]</calculatedColumnFormula>
    </tableColumn>
  </tableColumns>
  <tableStyleInfo name="TableStyleMedium15" showFirstColumn="0" showLastColumn="0" showRowStripes="1" showColumnStripes="0"/>
</table>
</file>

<file path=xl/tables/table1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E5933411-C7A2-43DC-A62E-86B6DEAF6C92}" name="Second_Semester_Structured_Programming" displayName="Second_Semester_Structured_Programming" ref="A109:P138" totalsRowShown="0" headerRowDxfId="416" dataDxfId="415">
  <autoFilter ref="A109:P138" xr:uid="{34628AF6-BDC2-4AC8-A10B-487BCABECE23}"/>
  <tableColumns count="16">
    <tableColumn id="1" xr3:uid="{3702E235-788A-454B-83CF-FAF81AC87E6E}" name="Roll No" dataDxfId="414"/>
    <tableColumn id="2" xr3:uid="{5891C9ED-D16A-4035-B7F4-EA47CAAF5900}" name="Name of Student" dataDxfId="413"/>
    <tableColumn id="3" xr3:uid="{8E97A0EE-D480-4306-9A4D-9C0647051465}" name="Quiz 1" dataDxfId="412">
      <calculatedColumnFormula>RANDBETWEEN(3,45)/3</calculatedColumnFormula>
    </tableColumn>
    <tableColumn id="4" xr3:uid="{CEB0DF51-8F4B-482D-9985-915657365C10}" name="Quiz 2" dataDxfId="411">
      <calculatedColumnFormula>RANDBETWEEN(3,45)/3</calculatedColumnFormula>
    </tableColumn>
    <tableColumn id="5" xr3:uid="{6C32C2EE-8393-423C-8BE7-523E4BED4557}" name="Quiz 3" dataDxfId="410">
      <calculatedColumnFormula>RANDBETWEEN(3,45)/3</calculatedColumnFormula>
    </tableColumn>
    <tableColumn id="6" xr3:uid="{43DC9FD1-A0BC-4ABD-B80A-B6605AECBE31}" name="Quiz Average" dataDxfId="409"/>
    <tableColumn id="7" xr3:uid="{D3A752D0-E1EC-4325-B3E0-30C0B4CD2EE8}" name="Round of Average" dataDxfId="408"/>
    <tableColumn id="10" xr3:uid="{A97B6E4B-30F4-42D6-98C2-0216E983BC17}" name="Attendance" dataDxfId="407">
      <calculatedColumnFormula>RANDBETWEEN(2,10)</calculatedColumnFormula>
    </tableColumn>
    <tableColumn id="13" xr3:uid="{30407793-5B08-4AC2-9507-555E870FEF7D}" name="Assignment" dataDxfId="406">
      <calculatedColumnFormula>RANDBETWEEN(3,70)/2</calculatedColumnFormula>
    </tableColumn>
    <tableColumn id="14" xr3:uid="{7F92C86E-DC10-45CA-8D35-90CA563BF490}" name="Final" dataDxfId="405">
      <calculatedColumnFormula>RANDBETWEEN(3,80)/2</calculatedColumnFormula>
    </tableColumn>
    <tableColumn id="15" xr3:uid="{DAB8A7FB-6F03-40C8-95F4-76CEE1FF4FA5}" name="Ass &amp; Final" dataDxfId="404"/>
    <tableColumn id="16" xr3:uid="{C0163661-17CF-41FC-BAAB-963779E15C6E}" name="Round of A &amp; F" dataDxfId="403"/>
    <tableColumn id="17" xr3:uid="{78838A16-E31A-4EC1-BAA2-B382DE1ABE75}" name="Total" dataDxfId="402"/>
    <tableColumn id="18" xr3:uid="{A13F6152-F4A5-48E8-8836-FC85CF703E5F}" name="Grade Scale" dataDxfId="401"/>
    <tableColumn id="19" xr3:uid="{8DAE660D-48E0-4B4D-A8C8-D1BAEA8E051E}" name="Grade Point" dataDxfId="400"/>
    <tableColumn id="20" xr3:uid="{3058E9B6-AE8F-4605-908C-0147C88A1D0E}" name="Remarks" dataDxfId="399"/>
  </tableColumns>
  <tableStyleInfo name="TableStyleMedium2" showFirstColumn="0" showLastColumn="0" showRowStripes="1" showColumnStripes="0"/>
</table>
</file>

<file path=xl/tables/table1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0" xr:uid="{805F8694-35B5-4CF0-A742-3BA4D09CDEAF}" name="Second_Semester_Fundamental_Website_Development" displayName="Second_Semester_Fundamental_Website_Development" ref="A156:P185" totalsRowShown="0" headerRowDxfId="398" dataDxfId="397">
  <autoFilter ref="A156:P185" xr:uid="{805F8694-35B5-4CF0-A742-3BA4D09CDEAF}"/>
  <tableColumns count="16">
    <tableColumn id="1" xr3:uid="{D6D10979-409D-4914-91DA-2A69B462AD9D}" name="Roll No" dataDxfId="396"/>
    <tableColumn id="2" xr3:uid="{359050C2-6266-49C2-913B-8616826D758E}" name="Name of Student" dataDxfId="395"/>
    <tableColumn id="3" xr3:uid="{25044A84-C261-4004-AFCB-1417E8E92CE4}" name="Quiz 1" dataDxfId="394">
      <calculatedColumnFormula>RANDBETWEEN(3,45)/3</calculatedColumnFormula>
    </tableColumn>
    <tableColumn id="4" xr3:uid="{61F8F91F-2EF5-4E24-BE64-A6F6DD2AF1F4}" name="Quiz 2" dataDxfId="393">
      <calculatedColumnFormula>RANDBETWEEN(3,45)/3</calculatedColumnFormula>
    </tableColumn>
    <tableColumn id="5" xr3:uid="{7F77EB2C-3416-4D60-A476-3AE29218C3B1}" name="Quiz 3" dataDxfId="392">
      <calculatedColumnFormula>RANDBETWEEN(3,45)/3</calculatedColumnFormula>
    </tableColumn>
    <tableColumn id="6" xr3:uid="{8C69D18E-2F14-4833-9114-9952DFAC5D5E}" name="Quiz Average" dataDxfId="391"/>
    <tableColumn id="7" xr3:uid="{DCDF9F0A-7A73-41EB-A36C-AA08144C0C77}" name="Round of Average" dataDxfId="390"/>
    <tableColumn id="10" xr3:uid="{1D7ED96B-EE29-41B8-A956-3E7AA9B38EE3}" name="Attendance" dataDxfId="389">
      <calculatedColumnFormula>RANDBETWEEN(2,10)</calculatedColumnFormula>
    </tableColumn>
    <tableColumn id="13" xr3:uid="{387EABA8-4CFB-4C1F-A805-4E402558B005}" name="Assignment" dataDxfId="388">
      <calculatedColumnFormula>RANDBETWEEN(3,70)/2</calculatedColumnFormula>
    </tableColumn>
    <tableColumn id="14" xr3:uid="{18F1A8FC-0430-4257-90AB-A9AC7454946E}" name="Final" dataDxfId="387">
      <calculatedColumnFormula>RANDBETWEEN(3,80)/2</calculatedColumnFormula>
    </tableColumn>
    <tableColumn id="15" xr3:uid="{AEA8095B-CA1C-460E-8349-3A1F79D7311B}" name="Ass &amp; Final" dataDxfId="386"/>
    <tableColumn id="16" xr3:uid="{A64E90EC-F609-456D-89F7-F1476E84A769}" name="Round of A &amp; F" dataDxfId="385"/>
    <tableColumn id="17" xr3:uid="{4E55E57A-9A16-49D0-A049-A8D54EF97E28}" name="Total" dataDxfId="384"/>
    <tableColumn id="18" xr3:uid="{B7B2948D-3203-439F-90A0-C0BFE00C1323}" name="Grade Scale" dataDxfId="383"/>
    <tableColumn id="19" xr3:uid="{889A9D03-9610-4E57-8B21-751353AAA744}" name="Grade Point" dataDxfId="382"/>
    <tableColumn id="20" xr3:uid="{8FC8DD49-7F23-41A8-A911-02051231B4FD}" name="Remarks" dataDxfId="381"/>
  </tableColumns>
  <tableStyleInfo name="TableStyleMedium2" showFirstColumn="0" showLastColumn="0" showRowStripes="1" showColumnStripes="0"/>
</table>
</file>

<file path=xl/tables/table1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1" xr:uid="{38337A44-E74D-4823-BD89-D66D6250B430}" name="Second_Semester_Structured_Programming_Lab" displayName="Second_Semester_Structured_Programming_Lab" ref="A203:L232" totalsRowShown="0" headerRowDxfId="380" dataDxfId="379">
  <autoFilter ref="A203:L232" xr:uid="{38337A44-E74D-4823-BD89-D66D6250B430}"/>
  <tableColumns count="12">
    <tableColumn id="1" xr3:uid="{6E4A170A-FA70-4ED0-B2C8-267D97C49705}" name="Roll No" dataDxfId="378"/>
    <tableColumn id="2" xr3:uid="{609BFB9F-B122-4112-8652-07BED32A3968}" name="Name of Student" dataDxfId="377"/>
    <tableColumn id="7" xr3:uid="{24B6E740-EA7A-40C9-BFFB-EFFF0D65CDC8}" name="Lab Perfomance" dataDxfId="376"/>
    <tableColumn id="10" xr3:uid="{E952C88C-DB27-4EC6-9D14-2D7CE8ECFF6C}" name="Attendance" dataDxfId="375">
      <calculatedColumnFormula>RANDBETWEEN(2,10)</calculatedColumnFormula>
    </tableColumn>
    <tableColumn id="13" xr3:uid="{79818E7F-3025-448C-8A5D-6209CE072EAD}" name="Assignment" dataDxfId="374">
      <calculatedColumnFormula>RANDBETWEEN(3,70)/2</calculatedColumnFormula>
    </tableColumn>
    <tableColumn id="14" xr3:uid="{80D87D82-9200-4258-9429-E48A76375151}" name="Final" dataDxfId="373">
      <calculatedColumnFormula>RANDBETWEEN(3,80)/2</calculatedColumnFormula>
    </tableColumn>
    <tableColumn id="15" xr3:uid="{8CDA5B14-ECCF-436B-AB50-8884B65C04D1}" name="Ass &amp; Final" dataDxfId="372"/>
    <tableColumn id="16" xr3:uid="{CB6C9386-CA21-4C77-8B37-C4803A1AADBA}" name="Round of A &amp; F" dataDxfId="371"/>
    <tableColumn id="17" xr3:uid="{41D8DB07-29D2-427A-82E1-1758BA56A655}" name="Total" dataDxfId="370"/>
    <tableColumn id="18" xr3:uid="{15EC05AC-6BAD-4BC2-B019-9A3C3D0AFC4E}" name="Grade Scale" dataDxfId="369"/>
    <tableColumn id="19" xr3:uid="{D3B28E3D-D355-46B9-A2DE-65318E46DA96}" name="Grade Point" dataDxfId="368"/>
    <tableColumn id="20" xr3:uid="{D94EB615-EC9E-4931-90C6-562A3857C822}" name="Remarks" dataDxfId="367"/>
  </tableColumns>
  <tableStyleInfo name="TableStyleMedium2" showFirstColumn="0" showLastColumn="0" showRowStripes="1" showColumnStripes="0"/>
</table>
</file>

<file path=xl/tables/table1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3" xr:uid="{E900E3BC-E396-419E-9B84-EDD544BB29C3}" name="Second_Semester_Fundamental_Website_Development_Lab" displayName="Second_Semester_Fundamental_Website_Development_Lab" ref="A250:L279" totalsRowShown="0" headerRowDxfId="366" dataDxfId="365">
  <autoFilter ref="A250:L279" xr:uid="{E900E3BC-E396-419E-9B84-EDD544BB29C3}"/>
  <tableColumns count="12">
    <tableColumn id="1" xr3:uid="{0213FD31-08DE-469A-A8F1-AFCB385560BD}" name="Roll No" dataDxfId="364"/>
    <tableColumn id="2" xr3:uid="{23817B90-DD97-48E8-8D1F-02AD873544A8}" name="Name of Student" dataDxfId="363"/>
    <tableColumn id="7" xr3:uid="{4CE22507-3EB6-4E1B-8830-9A92D12F603F}" name="Lab Perfomance" dataDxfId="362"/>
    <tableColumn id="10" xr3:uid="{33C6A27F-67F6-4C04-A00D-7CE1C50EE5B9}" name="Attendance" dataDxfId="361">
      <calculatedColumnFormula>RANDBETWEEN(2,10)</calculatedColumnFormula>
    </tableColumn>
    <tableColumn id="13" xr3:uid="{2A7ADB25-67DE-4C05-8AE9-EC8EC79D3A36}" name="Assignment" dataDxfId="360">
      <calculatedColumnFormula>RANDBETWEEN(3,70)/2</calculatedColumnFormula>
    </tableColumn>
    <tableColumn id="14" xr3:uid="{799DA648-9173-4126-A568-63B4814567CD}" name="Final" dataDxfId="359">
      <calculatedColumnFormula>RANDBETWEEN(3,80)/2</calculatedColumnFormula>
    </tableColumn>
    <tableColumn id="15" xr3:uid="{1735560F-B139-463A-AE79-63CEF049FBC4}" name="Ass &amp; Final" dataDxfId="358"/>
    <tableColumn id="16" xr3:uid="{0A2C82DE-1283-4113-A514-B93B8EC1A782}" name="Round of A &amp; F" dataDxfId="357"/>
    <tableColumn id="17" xr3:uid="{397DCC70-8CA8-46F2-960C-F0FA513DF504}" name="Total" dataDxfId="356"/>
    <tableColumn id="18" xr3:uid="{38ACFEF3-1551-42F8-9517-316E5A8BE945}" name="Grade Scale" dataDxfId="355"/>
    <tableColumn id="19" xr3:uid="{627EBE2D-65A2-48E8-BCF5-AA4D14759C23}" name="Grade Point" dataDxfId="354"/>
    <tableColumn id="20" xr3:uid="{099B7711-98CA-40F0-B548-8DD1AE6D9B84}" name="Remarks" dataDxfId="353"/>
  </tableColumns>
  <tableStyleInfo name="TableStyleMedium2" showFirstColumn="0" showLastColumn="0" showRowStripes="1" showColumnStripes="0"/>
</table>
</file>

<file path=xl/tables/table1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4" xr:uid="{F419C55F-EEA2-468A-B9B3-83CBC3EF2BF6}" name="Third_Semester_Study_and_Communication_Skills" displayName="Third_Semester_Study_and_Communication_Skills" ref="A62:T91" totalsRowShown="0" headerRowDxfId="352" dataDxfId="351">
  <autoFilter ref="A62:T91" xr:uid="{ED37F320-0130-4BD4-A8D5-81E7C1A6FBE9}"/>
  <tableColumns count="20">
    <tableColumn id="1" xr3:uid="{D8C5321E-43F9-488E-AC20-6A1F3B78718F}" name="Roll No" dataDxfId="350"/>
    <tableColumn id="2" xr3:uid="{9D1EA585-BBF5-4B91-AA7C-60BD9BF55A6D}" name="Name of Student" dataDxfId="349"/>
    <tableColumn id="3" xr3:uid="{90D16447-3B87-4B78-B3A1-ABE60EB647E4}" name="Quiz 1" dataDxfId="348">
      <calculatedColumnFormula>RANDBETWEEN(3,45)/3</calculatedColumnFormula>
    </tableColumn>
    <tableColumn id="4" xr3:uid="{8E9C8843-2F72-469F-B50C-EA3FB2E3328E}" name="Quiz 2" dataDxfId="347">
      <calculatedColumnFormula>RANDBETWEEN(3,45)/3</calculatedColumnFormula>
    </tableColumn>
    <tableColumn id="5" xr3:uid="{B926560A-FFAE-41D2-A2A7-E54A0719B83C}" name="Quiz 3" dataDxfId="346">
      <calculatedColumnFormula>RANDBETWEEN(3,45)/3</calculatedColumnFormula>
    </tableColumn>
    <tableColumn id="6" xr3:uid="{4495C83F-A821-4B47-BD75-FFEE95EFA508}" name="Quiz Average" dataDxfId="345"/>
    <tableColumn id="7" xr3:uid="{D8274320-DBBC-4092-A821-CC4F07B382EB}" name="Round of Average" dataDxfId="344"/>
    <tableColumn id="8" xr3:uid="{1F0CA77D-B018-4B90-88C7-7F6BFC20F1BC}" name="Assignment" dataDxfId="343">
      <calculatedColumnFormula>RANDBETWEEN(2,5)</calculatedColumnFormula>
    </tableColumn>
    <tableColumn id="9" xr3:uid="{78AB4E24-9ED1-48C1-A49D-E2E2A33446C4}" name="Presentation" dataDxfId="342">
      <calculatedColumnFormula>RANDBETWEEN(2,8)</calculatedColumnFormula>
    </tableColumn>
    <tableColumn id="10" xr3:uid="{08177FE7-4E0D-4587-B2DB-AC8C76E235B4}" name="Attendance" dataDxfId="341">
      <calculatedColumnFormula>RANDBETWEEN(2,7)</calculatedColumnFormula>
    </tableColumn>
    <tableColumn id="11" xr3:uid="{52961BCE-7769-4F44-86B1-9782D3564380}" name="Total out of APA" dataDxfId="340"/>
    <tableColumn id="12" xr3:uid="{655EDE5D-4B69-463C-AC4D-97AEBCE866E0}" name="Round of APA" dataDxfId="339"/>
    <tableColumn id="13" xr3:uid="{11A3F25F-1795-4359-8514-05956B4C65BD}" name="Midterm" dataDxfId="338">
      <calculatedColumnFormula>RANDBETWEEN(3,50)/2</calculatedColumnFormula>
    </tableColumn>
    <tableColumn id="14" xr3:uid="{CC791E6E-F615-4C84-ACEF-6F33E295E6AA}" name="Final" dataDxfId="337">
      <calculatedColumnFormula>RANDBETWEEN(3,80)/2</calculatedColumnFormula>
    </tableColumn>
    <tableColumn id="15" xr3:uid="{2B351DD8-F113-4032-83C3-D64132CEB8F5}" name="Mid &amp; Final" dataDxfId="336"/>
    <tableColumn id="16" xr3:uid="{616ABA6E-7573-46DB-95EE-1992179F6ACC}" name="Round of M &amp; F" dataDxfId="335"/>
    <tableColumn id="17" xr3:uid="{8B341B0E-DE91-4713-90FE-54DB606B14D9}" name="Total" dataDxfId="334"/>
    <tableColumn id="18" xr3:uid="{F265EBE5-931B-4A66-871B-F1EA2F8A1E95}" name="Grade Scale" dataDxfId="333"/>
    <tableColumn id="19" xr3:uid="{D466ECED-D2FF-4B05-8AD9-A6214770536E}" name="Grade Point" dataDxfId="332"/>
    <tableColumn id="20" xr3:uid="{CA9659A4-59F8-47E3-A131-5B8D891FCC4D}" name="Remarks" dataDxfId="331"/>
  </tableColumns>
  <tableStyleInfo name="TableStyleMedium2" showFirstColumn="0" showLastColumn="0" showRowStripes="1" showColumnStripes="0"/>
</table>
</file>

<file path=xl/tables/table1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5" xr:uid="{0BFB0195-9176-431E-B135-290375F4A039}" name="Third_Semester_SGPA" displayName="Third_Semester_SGPA" ref="A16:W44" totalsRowShown="0" headerRowDxfId="330">
  <autoFilter ref="A16:W44" xr:uid="{44CF9169-B9D9-45E1-B1E8-56ECE303AD82}"/>
  <tableColumns count="23">
    <tableColumn id="1" xr3:uid="{3FCD5D61-2C67-4FE7-B3C3-CE9685285531}" name="Roll No" dataDxfId="329"/>
    <tableColumn id="2" xr3:uid="{2DDBB0A5-A749-4940-B61E-467F7BD347AD}" name="Name of Student" dataDxfId="328"/>
    <tableColumn id="3" xr3:uid="{07BBF769-CF94-4746-B54A-DA5636DAC673}" name="Study and Communication Skills" dataDxfId="327">
      <calculatedColumnFormula>S64</calculatedColumnFormula>
    </tableColumn>
    <tableColumn id="4" xr3:uid="{13AD30AE-57D5-440C-BBDE-F704EB5B46F9}" name="Study and Communication Skills Credit" dataDxfId="326"/>
    <tableColumn id="18" xr3:uid="{4B952095-5E88-4A5C-88CA-0F4B99EC7A00}" name="Study and Communication Skills (Total Grade + Credit)" dataDxfId="325">
      <calculatedColumnFormula>Third_Semester_SGPA[[#This Row],[Study and Communication Skills]]*Third_Semester_SGPA[[#This Row],[Study and Communication Skills Credit]]</calculatedColumnFormula>
    </tableColumn>
    <tableColumn id="5" xr3:uid="{F6D9AB29-C91F-4A81-9BB6-26AC51912D75}" name="Data Structure" dataDxfId="324">
      <calculatedColumnFormula>O111</calculatedColumnFormula>
    </tableColumn>
    <tableColumn id="6" xr3:uid="{42C940A6-2D83-4C31-A3D3-61E136D78B71}" name="Data Structure Credit" dataDxfId="323"/>
    <tableColumn id="19" xr3:uid="{BCD7C08F-8089-4DB2-AD14-442AD0D9CBDB}" name="Data Structure (Total Grade + Credit)" dataDxfId="322">
      <calculatedColumnFormula>Third_Semester_SGPA[[#This Row],[Data Structure]]*Third_Semester_SGPA[[#This Row],[Data Structure Credit]]</calculatedColumnFormula>
    </tableColumn>
    <tableColumn id="7" xr3:uid="{6B74D563-B6F7-48B3-9F3C-0689BE7B04B4}" name="Computer Network" dataDxfId="321">
      <calculatedColumnFormula>O158</calculatedColumnFormula>
    </tableColumn>
    <tableColumn id="8" xr3:uid="{E44267F3-DED3-4E28-80DD-D4925672421C}" name="Computer Network Credit" dataDxfId="320"/>
    <tableColumn id="20" xr3:uid="{9F8CFADE-B0DA-4D86-BF3A-A5131195C73B}" name="Computer Network (Total Grade + Credit)" dataDxfId="319">
      <calculatedColumnFormula>Third_Semester_SGPA[[#This Row],[Computer Network]]*Third_Semester_SGPA[[#This Row],[Computer Network Credit]]</calculatedColumnFormula>
    </tableColumn>
    <tableColumn id="9" xr3:uid="{3E55EF9A-F846-4EB5-A699-01BFB0D06993}" name="Data Structure Lab" dataDxfId="318">
      <calculatedColumnFormula>K205</calculatedColumnFormula>
    </tableColumn>
    <tableColumn id="10" xr3:uid="{3EF51834-624E-4CAA-814D-0BBE61A595C4}" name="Data Structure Lab Credit" dataDxfId="317"/>
    <tableColumn id="21" xr3:uid="{7D0AC6BA-49D0-4611-BF45-8202EB6808F3}" name="Data Structure Lab (Total Grade + Credit)" dataDxfId="316">
      <calculatedColumnFormula>Third_Semester_SGPA[[#This Row],[Data Structure Lab]]*Third_Semester_SGPA[[#This Row],[Data Structure Lab Credit]]</calculatedColumnFormula>
    </tableColumn>
    <tableColumn id="11" xr3:uid="{DE7E11D8-D7D2-4BCE-839F-AA6CD4770F0C}" name="Computer Network Lab" dataDxfId="315">
      <calculatedColumnFormula>K252</calculatedColumnFormula>
    </tableColumn>
    <tableColumn id="12" xr3:uid="{696CA3B1-516C-4D98-A061-3283010AD172}" name="Computer Network Lab Credit" dataDxfId="314"/>
    <tableColumn id="22" xr3:uid="{2E27D899-7E0A-4F04-904A-AAB68DF390F1}" name="Computer Network Lab (Total Grade + Credit)" dataDxfId="313">
      <calculatedColumnFormula>Third_Semester_SGPA[[#This Row],[Computer Network Lab]]*Third_Semester_SGPA[[#This Row],[Computer Network Lab Credit]]</calculatedColumnFormula>
    </tableColumn>
    <tableColumn id="13" xr3:uid="{6ACF6143-CB74-4E77-8300-E3382F287057}" name="Discrete Mathematics" dataDxfId="312">
      <calculatedColumnFormula>S299</calculatedColumnFormula>
    </tableColumn>
    <tableColumn id="16" xr3:uid="{462A6F37-2CE5-48DE-A83F-786D041474CB}" name="Discrete Mathematics Credit" dataDxfId="311"/>
    <tableColumn id="17" xr3:uid="{20DBAAFA-3A3B-4E5B-929D-94EE1B0C45CB}" name="Discrete Mathematics (Total Grade + Credit)" dataDxfId="310">
      <calculatedColumnFormula>Third_Semester_SGPA[[#This Row],[Discrete Mathematics]]*Third_Semester_SGPA[[#This Row],[Discrete Mathematics Credit]]</calculatedColumnFormula>
    </tableColumn>
    <tableColumn id="23" xr3:uid="{8F3F9222-C525-4C1C-AB85-F94E02FFA238}" name="Total Subject (Total Grade + Credit)" dataDxfId="309">
      <calculatedColumnFormula>SUM(E17,H17,K17,N17,Q17,T17)</calculatedColumnFormula>
    </tableColumn>
    <tableColumn id="14" xr3:uid="{A5B36662-3F98-4ED0-AA01-6BBFD062F61C}" name="Total Subject Credit" dataDxfId="308">
      <calculatedColumnFormula>SUM(D17,G17,J17,M17,P17,S17)</calculatedColumnFormula>
    </tableColumn>
    <tableColumn id="15" xr3:uid="{F6E6CC4E-04A2-4C84-98EC-6A373DD32BFC}" name="3rd Semester (SGPA)" dataDxfId="307">
      <calculatedColumnFormula>Third_Semester_SGPA[[#This Row],[Total Subject (Total Grade + Credit)]]/Third_Semester_SGPA[[#This Row],[Total Subject Credit]]</calculatedColumnFormula>
    </tableColumn>
  </tableColumns>
  <tableStyleInfo name="TableStyleMedium15" showFirstColumn="0" showLastColumn="0" showRowStripes="1" showColumnStripes="0"/>
</table>
</file>

<file path=xl/tables/table1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6" xr:uid="{F534C964-2052-4953-94F4-560BFE5B18C1}" name="Third_Semester_Data_Structure" displayName="Third_Semester_Data_Structure" ref="A109:P138" totalsRowShown="0" headerRowDxfId="306" dataDxfId="305">
  <autoFilter ref="A109:P138" xr:uid="{34628AF6-BDC2-4AC8-A10B-487BCABECE23}"/>
  <tableColumns count="16">
    <tableColumn id="1" xr3:uid="{DBB93BD5-8503-4407-9108-9B5915E814D7}" name="Roll No" dataDxfId="304"/>
    <tableColumn id="2" xr3:uid="{6869AD65-B9F8-41CA-8383-EBB681071FCD}" name="Name of Student" dataDxfId="303"/>
    <tableColumn id="3" xr3:uid="{FD80E6CD-AC2F-45D1-838F-89035EE9AA08}" name="Quiz 1" dataDxfId="302">
      <calculatedColumnFormula>RANDBETWEEN(3,45)/3</calculatedColumnFormula>
    </tableColumn>
    <tableColumn id="4" xr3:uid="{302FC76D-1CB8-4FCA-87EA-EF7AC3F12EDC}" name="Quiz 2" dataDxfId="301">
      <calculatedColumnFormula>RANDBETWEEN(3,45)/3</calculatedColumnFormula>
    </tableColumn>
    <tableColumn id="5" xr3:uid="{72CE3AD8-DCCA-4556-8625-085A02E35E32}" name="Quiz 3" dataDxfId="300">
      <calculatedColumnFormula>RANDBETWEEN(3,45)/3</calculatedColumnFormula>
    </tableColumn>
    <tableColumn id="6" xr3:uid="{59545C93-A6E0-4F10-AC68-F216082224DE}" name="Quiz Average" dataDxfId="299"/>
    <tableColumn id="7" xr3:uid="{851CE955-C543-47DB-8835-65BCF7959D2B}" name="Round of Average" dataDxfId="298"/>
    <tableColumn id="10" xr3:uid="{750F11EE-6DBE-4FF3-AC89-38D20EC1312E}" name="Attendance" dataDxfId="297">
      <calculatedColumnFormula>RANDBETWEEN(2,10)</calculatedColumnFormula>
    </tableColumn>
    <tableColumn id="13" xr3:uid="{BA468CEF-6E81-44DD-A0AE-DD0AC2BE03CC}" name="Assignment" dataDxfId="296">
      <calculatedColumnFormula>RANDBETWEEN(3,70)/2</calculatedColumnFormula>
    </tableColumn>
    <tableColumn id="14" xr3:uid="{7971BD91-115B-4CFE-83DD-C2D8EDEA1CA7}" name="Final" dataDxfId="295">
      <calculatedColumnFormula>RANDBETWEEN(3,80)/2</calculatedColumnFormula>
    </tableColumn>
    <tableColumn id="15" xr3:uid="{CAE1197C-1DC5-491E-A965-2746CF0AD81D}" name="Ass &amp; Final" dataDxfId="294"/>
    <tableColumn id="16" xr3:uid="{349F962D-70B4-4860-A143-234212B0765E}" name="Round of A &amp; F" dataDxfId="293"/>
    <tableColumn id="17" xr3:uid="{B029C64C-7F73-42DF-BDFB-95667063CB3E}" name="Total" dataDxfId="292"/>
    <tableColumn id="18" xr3:uid="{34D489AC-DE57-43E8-B4F8-E6C218427430}" name="Grade Scale" dataDxfId="291"/>
    <tableColumn id="19" xr3:uid="{A8288E7D-087A-4D8A-BF09-AC1F97F8B22F}" name="Grade Point" dataDxfId="290"/>
    <tableColumn id="20" xr3:uid="{25F98947-E0E2-45A2-ABDC-9E1E65803EF8}" name="Remarks" dataDxfId="289"/>
  </tableColumns>
  <tableStyleInfo name="TableStyleMedium2" showFirstColumn="0" showLastColumn="0" showRowStripes="1" showColumnStripes="0"/>
</table>
</file>

<file path=xl/tables/table1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7" xr:uid="{AAD63801-F2E6-4D93-A330-72C28328B2A4}" name="Third_Semester_Computer_Network" displayName="Third_Semester_Computer_Network" ref="A156:P185" totalsRowShown="0" headerRowDxfId="288" dataDxfId="287">
  <autoFilter ref="A156:P185" xr:uid="{805F8694-35B5-4CF0-A742-3BA4D09CDEAF}"/>
  <tableColumns count="16">
    <tableColumn id="1" xr3:uid="{411DA8C9-A358-4E8A-B648-36686CCA42F0}" name="Roll No" dataDxfId="286"/>
    <tableColumn id="2" xr3:uid="{BF9BD368-0B86-45E9-92A8-22F48B89B998}" name="Name of Student" dataDxfId="285"/>
    <tableColumn id="3" xr3:uid="{A6F7A5CA-F51E-41C8-B044-64D9EE21B2AE}" name="Quiz 1" dataDxfId="284">
      <calculatedColumnFormula>RANDBETWEEN(3,45)/3</calculatedColumnFormula>
    </tableColumn>
    <tableColumn id="4" xr3:uid="{A356E45A-AD8E-48AB-8516-9FB03B9B4C8D}" name="Quiz 2" dataDxfId="283">
      <calculatedColumnFormula>RANDBETWEEN(3,45)/3</calculatedColumnFormula>
    </tableColumn>
    <tableColumn id="5" xr3:uid="{4CD44500-9F8D-4D1C-A3B6-9CE9F5E00AB9}" name="Quiz 3" dataDxfId="282">
      <calculatedColumnFormula>RANDBETWEEN(3,45)/3</calculatedColumnFormula>
    </tableColumn>
    <tableColumn id="6" xr3:uid="{D3ED3B99-0AF9-49EC-BB8D-7EA665468BA4}" name="Quiz Average" dataDxfId="281"/>
    <tableColumn id="7" xr3:uid="{9019C5EB-60F4-4947-9697-30BFCB3FE8BB}" name="Round of Average" dataDxfId="280"/>
    <tableColumn id="10" xr3:uid="{90421A97-84B1-47F9-AD07-3A2A639CD739}" name="Attendance" dataDxfId="279">
      <calculatedColumnFormula>RANDBETWEEN(2,10)</calculatedColumnFormula>
    </tableColumn>
    <tableColumn id="13" xr3:uid="{B0E8B388-34F6-4817-9B22-1C23985A63A4}" name="Assignment" dataDxfId="278">
      <calculatedColumnFormula>RANDBETWEEN(3,70)/2</calculatedColumnFormula>
    </tableColumn>
    <tableColumn id="14" xr3:uid="{985353E8-F5A1-4CC6-AA0A-E6AFA465E269}" name="Final" dataDxfId="277">
      <calculatedColumnFormula>RANDBETWEEN(3,80)/2</calculatedColumnFormula>
    </tableColumn>
    <tableColumn id="15" xr3:uid="{11FBC346-732A-45F4-B42B-8CF35CE2FE8F}" name="Ass &amp; Final" dataDxfId="276"/>
    <tableColumn id="16" xr3:uid="{5519C086-0C4F-4295-8CB5-1EF6423128A2}" name="Round of A &amp; F" dataDxfId="275"/>
    <tableColumn id="17" xr3:uid="{2B7E4BA3-4C0F-40F6-9C3D-78107620A97C}" name="Total" dataDxfId="274"/>
    <tableColumn id="18" xr3:uid="{F3DF6A75-A302-4B02-BF2A-83E661D33612}" name="Grade Scale" dataDxfId="273"/>
    <tableColumn id="19" xr3:uid="{0FAFF57E-470A-4CD9-AE9D-27E2E16DE725}" name="Grade Point" dataDxfId="272"/>
    <tableColumn id="20" xr3:uid="{418DCF9B-5020-4D7E-9F66-2663AAB34FB7}" name="Remarks" dataDxfId="271"/>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1" xr:uid="{F6DD7C54-7D70-42EB-A767-3ADA77EF4B91}" name="Introduction" displayName="Introduction" ref="X2:X3" insertRow="1" totalsRowShown="0" headerRowDxfId="575" dataDxfId="574">
  <autoFilter ref="X2:X3" xr:uid="{F6DD7C54-7D70-42EB-A767-3ADA77EF4B91}">
    <filterColumn colId="0" hiddenButton="1"/>
  </autoFilter>
  <tableColumns count="1">
    <tableColumn id="1" xr3:uid="{14F25161-24DC-4A7B-9853-E45B066D48F5}" name="Column1" dataDxfId="573"/>
  </tableColumns>
  <tableStyleInfo name="TableStyleMedium1" showFirstColumn="0" showLastColumn="0" showRowStripes="0" showColumnStripes="0"/>
</table>
</file>

<file path=xl/tables/table2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8" xr:uid="{D6FFAF7E-C4BA-4E58-8BD9-683638691158}" name="Third_Semester_Data_Structure_Lab" displayName="Third_Semester_Data_Structure_Lab" ref="A203:L232" totalsRowShown="0" headerRowDxfId="270" dataDxfId="269">
  <autoFilter ref="A203:L232" xr:uid="{38337A44-E74D-4823-BD89-D66D6250B430}"/>
  <tableColumns count="12">
    <tableColumn id="1" xr3:uid="{226822D7-64F7-492E-853F-F7A6C8A7076E}" name="Roll No" dataDxfId="268"/>
    <tableColumn id="2" xr3:uid="{E89BC757-6EF6-44E8-BF40-B9C4DC217730}" name="Name of Student" dataDxfId="267"/>
    <tableColumn id="7" xr3:uid="{74410B93-2677-47B2-9E56-8595E18B571B}" name="Lab Perfomance" dataDxfId="266"/>
    <tableColumn id="10" xr3:uid="{4243A500-8C0E-49A0-9733-036C78830FB1}" name="Attendance" dataDxfId="265">
      <calculatedColumnFormula>RANDBETWEEN(2,10)</calculatedColumnFormula>
    </tableColumn>
    <tableColumn id="13" xr3:uid="{89D254C0-A74F-48EE-A98C-A4E26D15DD63}" name="Assignment" dataDxfId="264">
      <calculatedColumnFormula>RANDBETWEEN(3,70)/2</calculatedColumnFormula>
    </tableColumn>
    <tableColumn id="14" xr3:uid="{9584956B-ECE4-46A6-902E-1F73AA939B9C}" name="Final" dataDxfId="263">
      <calculatedColumnFormula>RANDBETWEEN(3,80)/2</calculatedColumnFormula>
    </tableColumn>
    <tableColumn id="15" xr3:uid="{09ECC912-FE6D-4C80-B0E2-CB4A6D4447BE}" name="Ass &amp; Final" dataDxfId="262"/>
    <tableColumn id="16" xr3:uid="{99402070-267D-403F-A7FD-2D3225182549}" name="Round of A &amp; F" dataDxfId="261"/>
    <tableColumn id="17" xr3:uid="{D0195750-F4D3-4616-9A19-5B01D56A1355}" name="Total" dataDxfId="260"/>
    <tableColumn id="18" xr3:uid="{06277561-97E1-41B4-BD97-AABD6A34653A}" name="Grade Scale" dataDxfId="259"/>
    <tableColumn id="19" xr3:uid="{97ED76CD-54BD-4D55-A3DC-088045A7E461}" name="Grade Point" dataDxfId="258"/>
    <tableColumn id="20" xr3:uid="{390C47D4-BF25-4921-AE26-65D47D0B136A}" name="Remarks" dataDxfId="257"/>
  </tableColumns>
  <tableStyleInfo name="TableStyleMedium2" showFirstColumn="0" showLastColumn="0" showRowStripes="1" showColumnStripes="0"/>
</table>
</file>

<file path=xl/tables/table2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9" xr:uid="{6E2656A8-AEF8-4B8B-ABEC-BD36B3468F05}" name="Third_Semester_Computer_Network_Lab" displayName="Third_Semester_Computer_Network_Lab" ref="A250:L279" totalsRowShown="0" headerRowDxfId="256" dataDxfId="255">
  <autoFilter ref="A250:L279" xr:uid="{E900E3BC-E396-419E-9B84-EDD544BB29C3}"/>
  <tableColumns count="12">
    <tableColumn id="1" xr3:uid="{63580714-B9FE-4F04-811B-8F894ABDB332}" name="Roll No" dataDxfId="254"/>
    <tableColumn id="2" xr3:uid="{AFE139FB-B952-4849-A5DB-B4D1BDBF1478}" name="Name of Student" dataDxfId="253"/>
    <tableColumn id="7" xr3:uid="{CC107957-E095-4343-B441-63F013B5BCF2}" name="Lab Perfomance" dataDxfId="252"/>
    <tableColumn id="10" xr3:uid="{77182FA2-E305-4156-B37A-306620D7B39C}" name="Attendance" dataDxfId="251">
      <calculatedColumnFormula>RANDBETWEEN(2,10)</calculatedColumnFormula>
    </tableColumn>
    <tableColumn id="13" xr3:uid="{634489D0-5726-4D71-A696-2EFC5388774E}" name="Assignment" dataDxfId="250">
      <calculatedColumnFormula>RANDBETWEEN(3,70)/2</calculatedColumnFormula>
    </tableColumn>
    <tableColumn id="14" xr3:uid="{87A5B9D9-00BB-4DC1-B1E6-8239B359728E}" name="Final" dataDxfId="249">
      <calculatedColumnFormula>RANDBETWEEN(3,80)/2</calculatedColumnFormula>
    </tableColumn>
    <tableColumn id="15" xr3:uid="{BA79CDD4-6973-4B5A-B188-B4DF28D3128A}" name="Ass &amp; Final" dataDxfId="248"/>
    <tableColumn id="16" xr3:uid="{DCBB9895-FE3F-416F-A3A7-ED9D15EF2F2B}" name="Round of A &amp; F" dataDxfId="247"/>
    <tableColumn id="17" xr3:uid="{9464704A-55C2-4B43-A110-DE4B8301F528}" name="Total" dataDxfId="246"/>
    <tableColumn id="18" xr3:uid="{6853F6CA-2059-4CFB-A508-739402B9EB24}" name="Grade Scale" dataDxfId="245"/>
    <tableColumn id="19" xr3:uid="{4FC4C8D2-82CA-4784-AB7B-7A97C57DD1F6}" name="Grade Point" dataDxfId="244"/>
    <tableColumn id="20" xr3:uid="{766F5D93-8B93-4B27-A183-F6FD0C1FE6E1}" name="Remarks" dataDxfId="243"/>
  </tableColumns>
  <tableStyleInfo name="TableStyleMedium2" showFirstColumn="0" showLastColumn="0" showRowStripes="1" showColumnStripes="0"/>
</table>
</file>

<file path=xl/tables/table2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8" xr:uid="{61B4B68E-AE4E-4A80-8D66-C28F41C804BD}" name="Third_Semester_Discrete_Mathematics" displayName="Third_Semester_Discrete_Mathematics" ref="A297:T326" totalsRowShown="0" headerRowDxfId="242" dataDxfId="241">
  <autoFilter ref="A297:T326" xr:uid="{61B4B68E-AE4E-4A80-8D66-C28F41C804BD}"/>
  <tableColumns count="20">
    <tableColumn id="1" xr3:uid="{488B8224-E2AE-4727-B7F1-16723F23E1DE}" name="Roll No" dataDxfId="240"/>
    <tableColumn id="2" xr3:uid="{8A6BCC00-7644-4CB3-880A-92F3EC10999B}" name="Name of Student" dataDxfId="239"/>
    <tableColumn id="3" xr3:uid="{8BECECFA-C996-48D0-95B5-436453353C6A}" name="Quiz 1" dataDxfId="238">
      <calculatedColumnFormula>RANDBETWEEN(3,45)/3</calculatedColumnFormula>
    </tableColumn>
    <tableColumn id="4" xr3:uid="{9B26E06D-280C-43A7-8654-7D845789B455}" name="Quiz 2" dataDxfId="237">
      <calculatedColumnFormula>RANDBETWEEN(3,45)/3</calculatedColumnFormula>
    </tableColumn>
    <tableColumn id="5" xr3:uid="{0E802D72-4D39-4335-8F1E-C5483CB7647B}" name="Quiz 3" dataDxfId="236">
      <calculatedColumnFormula>RANDBETWEEN(3,45)/3</calculatedColumnFormula>
    </tableColumn>
    <tableColumn id="6" xr3:uid="{DC61266C-39A0-4D60-8FCE-19859C48BBA8}" name="Quiz Average" dataDxfId="235"/>
    <tableColumn id="7" xr3:uid="{23AA7BFA-28BD-4225-8F06-04A859BC27AA}" name="Round of Average" dataDxfId="234"/>
    <tableColumn id="8" xr3:uid="{D4AE9B08-0B14-4EE9-ADB7-FDDFF75B9C66}" name="Assignment" dataDxfId="233">
      <calculatedColumnFormula>RANDBETWEEN(2,5)</calculatedColumnFormula>
    </tableColumn>
    <tableColumn id="9" xr3:uid="{0D8A7F1E-3CD7-4AC0-8048-F30E2DCCBCCC}" name="Presentation" dataDxfId="232">
      <calculatedColumnFormula>RANDBETWEEN(2,8)</calculatedColumnFormula>
    </tableColumn>
    <tableColumn id="10" xr3:uid="{5D419486-1830-4A4B-ACED-5C07D8777570}" name="Attendance" dataDxfId="231">
      <calculatedColumnFormula>RANDBETWEEN(2,7)</calculatedColumnFormula>
    </tableColumn>
    <tableColumn id="11" xr3:uid="{D6EF540D-2327-4234-A7BB-49D097743E68}" name="Total out of APA" dataDxfId="230"/>
    <tableColumn id="12" xr3:uid="{2B496AC6-83FD-441B-8B05-75949E4E72D0}" name="Round of APA" dataDxfId="229"/>
    <tableColumn id="13" xr3:uid="{A42697FD-6181-417B-8B7A-E0D73860B2BB}" name="Midterm" dataDxfId="228">
      <calculatedColumnFormula>RANDBETWEEN(3,50)/2</calculatedColumnFormula>
    </tableColumn>
    <tableColumn id="14" xr3:uid="{613FA3AA-16FF-4E93-88ED-49121C0F3F2E}" name="Final" dataDxfId="227">
      <calculatedColumnFormula>RANDBETWEEN(3,80)/2</calculatedColumnFormula>
    </tableColumn>
    <tableColumn id="15" xr3:uid="{1C8DE671-DF30-4845-B090-46F8021AF011}" name="Mid &amp; Final" dataDxfId="226"/>
    <tableColumn id="16" xr3:uid="{7D4D00E6-9561-40DF-9255-EAD31D12AA21}" name="Round of M &amp; F" dataDxfId="225"/>
    <tableColumn id="17" xr3:uid="{6DBBB482-FD38-4016-AF57-4D93EBFE9182}" name="Total" dataDxfId="224"/>
    <tableColumn id="18" xr3:uid="{DE14FE41-A2E0-4A15-9FD4-2905F34233AA}" name="Grade Scale" dataDxfId="223"/>
    <tableColumn id="19" xr3:uid="{0392AA1B-FE31-498C-9879-50CA2E0E343B}" name="Grade Point" dataDxfId="222"/>
    <tableColumn id="20" xr3:uid="{6F78D9BB-B718-491C-A25D-E3E7691EABC6}" name="Remarks" dataDxfId="221"/>
  </tableColumns>
  <tableStyleInfo name="TableStyleMedium2" showFirstColumn="0" showLastColumn="0" showRowStripes="1" showColumnStripes="0"/>
</table>
</file>

<file path=xl/tables/table2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0" xr:uid="{870EC3E5-9D85-4BC7-A921-899449A7CE65}" name="Four_Semester_Accounting" displayName="Four_Semester_Accounting" ref="A62:T91" totalsRowShown="0" headerRowDxfId="220" dataDxfId="219">
  <autoFilter ref="A62:T91" xr:uid="{ED37F320-0130-4BD4-A8D5-81E7C1A6FBE9}"/>
  <tableColumns count="20">
    <tableColumn id="1" xr3:uid="{07B6EEAB-C35B-4454-BF13-D8EB6AB70993}" name="Roll No" dataDxfId="218"/>
    <tableColumn id="2" xr3:uid="{DABE2DDD-F109-4D27-8E8F-AEEC12724347}" name="Name of Student" dataDxfId="217"/>
    <tableColumn id="3" xr3:uid="{A6FF5900-7296-453C-A3AB-58A4EAF2633F}" name="Quiz 1" dataDxfId="216">
      <calculatedColumnFormula>RANDBETWEEN(3,45)/3</calculatedColumnFormula>
    </tableColumn>
    <tableColumn id="4" xr3:uid="{3CAEEABD-A09B-48A8-B54D-DCEDEA69AB6E}" name="Quiz 2" dataDxfId="215">
      <calculatedColumnFormula>RANDBETWEEN(3,45)/3</calculatedColumnFormula>
    </tableColumn>
    <tableColumn id="5" xr3:uid="{3373F9EF-D164-4FE6-9D65-576ED79C496B}" name="Quiz 3" dataDxfId="214">
      <calculatedColumnFormula>RANDBETWEEN(3,45)/3</calculatedColumnFormula>
    </tableColumn>
    <tableColumn id="6" xr3:uid="{BAF1A3AE-BD92-4C3E-B320-C45858477478}" name="Quiz Average" dataDxfId="213"/>
    <tableColumn id="7" xr3:uid="{6C519493-37E7-4907-952D-CD4C3ABCA209}" name="Round of Average" dataDxfId="212"/>
    <tableColumn id="8" xr3:uid="{574D97A9-5159-4978-94CE-ADC3B9FF3D12}" name="Assignment" dataDxfId="211">
      <calculatedColumnFormula>RANDBETWEEN(2,5)</calculatedColumnFormula>
    </tableColumn>
    <tableColumn id="9" xr3:uid="{E4641B32-6BF8-426B-ABD0-BC8ECEC3976E}" name="Presentation" dataDxfId="210">
      <calculatedColumnFormula>RANDBETWEEN(2,8)</calculatedColumnFormula>
    </tableColumn>
    <tableColumn id="10" xr3:uid="{DF643028-E7B0-4BC1-93FB-511A05917378}" name="Attendance" dataDxfId="209">
      <calculatedColumnFormula>RANDBETWEEN(2,7)</calculatedColumnFormula>
    </tableColumn>
    <tableColumn id="11" xr3:uid="{672279C3-8308-48D8-909A-4D30D5AE63D6}" name="Total out of APA" dataDxfId="208"/>
    <tableColumn id="12" xr3:uid="{95683E72-E675-4154-8822-1B541F846C4E}" name="Round of APA" dataDxfId="207"/>
    <tableColumn id="13" xr3:uid="{7BE99013-5E23-400E-AC1C-8FDB28CDEFB2}" name="Midterm" dataDxfId="206">
      <calculatedColumnFormula>RANDBETWEEN(3,50)/2</calculatedColumnFormula>
    </tableColumn>
    <tableColumn id="14" xr3:uid="{69FF7465-D9C3-4913-BC3F-4818425120E1}" name="Final" dataDxfId="205">
      <calculatedColumnFormula>RANDBETWEEN(3,80)/2</calculatedColumnFormula>
    </tableColumn>
    <tableColumn id="15" xr3:uid="{5B033423-8A3F-46F0-AEF5-54981613D9DA}" name="Mid &amp; Final" dataDxfId="204"/>
    <tableColumn id="16" xr3:uid="{BEF95B11-5C02-45F1-9B93-939BF0F33A52}" name="Round of M &amp; F" dataDxfId="203"/>
    <tableColumn id="17" xr3:uid="{1EA62785-CCB9-4A52-B9AD-43AC99AEE999}" name="Total" dataDxfId="202"/>
    <tableColumn id="18" xr3:uid="{E7DDCA5E-B9C5-46F5-A6FD-6F3252DB45CD}" name="Grade Scale" dataDxfId="201"/>
    <tableColumn id="19" xr3:uid="{4136E823-8A8F-409A-8463-FB06BB44DB85}" name="Grade Point" dataDxfId="200"/>
    <tableColumn id="20" xr3:uid="{A12124CF-E8ED-4D9E-869D-EAB58954A231}" name="Remarks" dataDxfId="199"/>
  </tableColumns>
  <tableStyleInfo name="TableStyleMedium2" showFirstColumn="0" showLastColumn="0" showRowStripes="1" showColumnStripes="0"/>
</table>
</file>

<file path=xl/tables/table2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1" xr:uid="{46FC3053-D389-4A78-B3F8-D9B0F1543772}" name="Four_Semester_SGPA" displayName="Four_Semester_SGPA" ref="A16:Q44" totalsRowShown="0" headerRowDxfId="198">
  <autoFilter ref="A16:Q44" xr:uid="{44CF9169-B9D9-45E1-B1E8-56ECE303AD82}"/>
  <tableColumns count="17">
    <tableColumn id="1" xr3:uid="{3DB844AE-9121-4FC0-B79D-03BA1202B80A}" name="Roll No" dataDxfId="197"/>
    <tableColumn id="2" xr3:uid="{518B07AC-2BD5-4D22-8AA5-89D8E6E8ED43}" name="Name of Student" dataDxfId="196"/>
    <tableColumn id="3" xr3:uid="{6388FAE9-9F6D-4080-9D5C-6A349F245065}" name="Accounting" dataDxfId="195">
      <calculatedColumnFormula>S64</calculatedColumnFormula>
    </tableColumn>
    <tableColumn id="4" xr3:uid="{1D610D87-A8AC-4787-929B-182F51EA92DB}" name="Accounting Credit" dataDxfId="194"/>
    <tableColumn id="16" xr3:uid="{2B4B1370-CC20-42D7-9E44-F04E720B9C87}" name="Accounting (Total Grade + Credit)" dataDxfId="193">
      <calculatedColumnFormula>Four_Semester_SGPA[[#This Row],[Accounting]]*Four_Semester_SGPA[[#This Row],[Accounting Credit]]</calculatedColumnFormula>
    </tableColumn>
    <tableColumn id="5" xr3:uid="{27A79A37-725D-456C-B186-68D2C9ED13EE}" name="Office Solution Development" dataDxfId="192">
      <calculatedColumnFormula>O111</calculatedColumnFormula>
    </tableColumn>
    <tableColumn id="6" xr3:uid="{59C682B7-6066-4D91-81D0-4F649E6FB572}" name="Office Solution Development Credit" dataDxfId="191"/>
    <tableColumn id="17" xr3:uid="{DD38A6AC-4597-4A76-AB5A-A171C1D34FBE}" name="Office Solution Development (Total Grade + Credit)" dataDxfId="190">
      <calculatedColumnFormula>Four_Semester_SGPA[[#This Row],[Office Solution Development]]*Four_Semester_SGPA[[#This Row],[Office Solution Development Credit]]</calculatedColumnFormula>
    </tableColumn>
    <tableColumn id="7" xr3:uid="{5CCF7B8A-F3A6-484B-9E22-21E37049D9FB}" name="Algorithm" dataDxfId="189">
      <calculatedColumnFormula>O158</calculatedColumnFormula>
    </tableColumn>
    <tableColumn id="8" xr3:uid="{1261A177-3A69-4A91-AD21-3EF26B7F5D07}" name="Algorithm Credit" dataDxfId="188"/>
    <tableColumn id="18" xr3:uid="{25F37F01-FB27-4DFA-8C7E-AA3F3A5D34D1}" name="Algorithm (Total Grade + Credit)" dataDxfId="187">
      <calculatedColumnFormula>Four_Semester_SGPA[[#This Row],[Algorithm]]*Four_Semester_SGPA[[#This Row],[Algorithm Credit]]</calculatedColumnFormula>
    </tableColumn>
    <tableColumn id="9" xr3:uid="{90FD429B-511E-4EC2-8990-B747C9C647B7}" name="Algorithm Lab" dataDxfId="186">
      <calculatedColumnFormula>K205</calculatedColumnFormula>
    </tableColumn>
    <tableColumn id="10" xr3:uid="{86265EE7-8763-4D11-BE6D-AD9797B38849}" name="Algorithm Lab Credit" dataDxfId="185"/>
    <tableColumn id="19" xr3:uid="{9E604AAB-779E-4D41-A9B3-B1325421678E}" name="Algorithm Lab (Total Grade + Credit)" dataDxfId="184">
      <calculatedColumnFormula>Four_Semester_SGPA[[#This Row],[Algorithm Lab]]*Four_Semester_SGPA[[#This Row],[Algorithm Lab Credit]]</calculatedColumnFormula>
    </tableColumn>
    <tableColumn id="11" xr3:uid="{B652CD0C-8568-4AF2-9A7E-B25E9297AD54}" name="Total Subject (Total Grade + Credit)" dataDxfId="183">
      <calculatedColumnFormula>SUM(E17,H17,K17,N17)</calculatedColumnFormula>
    </tableColumn>
    <tableColumn id="14" xr3:uid="{B7707541-A17B-411B-B3A3-B269AA219EF5}" name="Total Subject Credit" dataDxfId="182">
      <calculatedColumnFormula>SUM(D17,G17,J17,M17)</calculatedColumnFormula>
    </tableColumn>
    <tableColumn id="15" xr3:uid="{23B022C2-AE5B-4399-8860-A9C7CE53FC37}" name="4th Semester (SGPA)" dataDxfId="181">
      <calculatedColumnFormula>Four_Semester_SGPA[[#This Row],[Total Subject (Total Grade + Credit)]]/Four_Semester_SGPA[[#This Row],[Total Subject Credit]]</calculatedColumnFormula>
    </tableColumn>
  </tableColumns>
  <tableStyleInfo name="TableStyleMedium15" showFirstColumn="0" showLastColumn="0" showRowStripes="1" showColumnStripes="0"/>
</table>
</file>

<file path=xl/tables/table2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2" xr:uid="{CEC1FA04-EF72-4E26-83E8-3CC8679572E8}" name="Four_Semester_Office_Solution_Development" displayName="Four_Semester_Office_Solution_Development" ref="A109:P138" totalsRowShown="0" headerRowDxfId="180" dataDxfId="179">
  <autoFilter ref="A109:P138" xr:uid="{34628AF6-BDC2-4AC8-A10B-487BCABECE23}"/>
  <tableColumns count="16">
    <tableColumn id="1" xr3:uid="{75791B0E-52DF-4D36-88F6-8A7AD784A819}" name="Roll No" dataDxfId="178"/>
    <tableColumn id="2" xr3:uid="{ACAA087E-78F6-451D-83D1-F9B4DA0E925E}" name="Name of Student" dataDxfId="177"/>
    <tableColumn id="3" xr3:uid="{7C41794E-7E44-4D86-9521-8EFDD52180C5}" name="Quiz 1" dataDxfId="176">
      <calculatedColumnFormula>RANDBETWEEN(3,45)/3</calculatedColumnFormula>
    </tableColumn>
    <tableColumn id="4" xr3:uid="{B75225BC-FB63-4ADF-AA99-C4EB0471B520}" name="Quiz 2" dataDxfId="175">
      <calculatedColumnFormula>RANDBETWEEN(3,45)/3</calculatedColumnFormula>
    </tableColumn>
    <tableColumn id="5" xr3:uid="{6217FCB9-064D-4038-BE61-C1791A3F1FCD}" name="Quiz 3" dataDxfId="174">
      <calculatedColumnFormula>RANDBETWEEN(3,45)/3</calculatedColumnFormula>
    </tableColumn>
    <tableColumn id="6" xr3:uid="{1F027BED-80B9-48C5-97C7-1CAEC0E5ACA6}" name="Quiz Average" dataDxfId="173"/>
    <tableColumn id="7" xr3:uid="{5C4D54B4-3CF7-4E3F-8F90-2FA690227166}" name="Round of Average" dataDxfId="172"/>
    <tableColumn id="10" xr3:uid="{AF60F8BE-2750-4CE9-88B9-7B0A8B9D9879}" name="Attendance" dataDxfId="171">
      <calculatedColumnFormula>RANDBETWEEN(2,10)</calculatedColumnFormula>
    </tableColumn>
    <tableColumn id="13" xr3:uid="{70EFB1F1-91B7-4B90-8438-B3FAB0AF4C6E}" name="Assignment" dataDxfId="170">
      <calculatedColumnFormula>RANDBETWEEN(3,70)/2</calculatedColumnFormula>
    </tableColumn>
    <tableColumn id="14" xr3:uid="{CE8AC4B8-7410-4D4B-881C-6755FD900DF5}" name="Final" dataDxfId="169">
      <calculatedColumnFormula>RANDBETWEEN(3,80)/2</calculatedColumnFormula>
    </tableColumn>
    <tableColumn id="15" xr3:uid="{FCF284EE-F55F-4338-AE52-BA2FC75CAB9A}" name="Ass &amp; Final" dataDxfId="168"/>
    <tableColumn id="16" xr3:uid="{A0DAEA1B-F355-482A-ADDE-C261111210AE}" name="Round of A &amp; F" dataDxfId="167"/>
    <tableColumn id="17" xr3:uid="{3FA32F55-F110-4B64-AABA-89FB5E604180}" name="Total" dataDxfId="166"/>
    <tableColumn id="18" xr3:uid="{A4DE5045-1EF5-45B4-8FEA-02813F6D54EB}" name="Grade Scale" dataDxfId="165"/>
    <tableColumn id="19" xr3:uid="{3F2FDA66-FECF-4B72-8B1D-A03B8B1F0FCA}" name="Grade Point" dataDxfId="164"/>
    <tableColumn id="20" xr3:uid="{BF3AB3C5-28DD-46D1-8D68-FC103B1A37F0}" name="Remarks" dataDxfId="163"/>
  </tableColumns>
  <tableStyleInfo name="TableStyleMedium2" showFirstColumn="0" showLastColumn="0" showRowStripes="1" showColumnStripes="0"/>
</table>
</file>

<file path=xl/tables/table2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3" xr:uid="{6252283D-6BF9-4E35-A8D6-090750951484}" name="Four_Semester_Algorithm" displayName="Four_Semester_Algorithm" ref="A156:P185" totalsRowShown="0" headerRowDxfId="162" dataDxfId="161">
  <autoFilter ref="A156:P185" xr:uid="{805F8694-35B5-4CF0-A742-3BA4D09CDEAF}"/>
  <tableColumns count="16">
    <tableColumn id="1" xr3:uid="{149CC43E-8D62-41D3-A981-9343507A0C2A}" name="Roll No" dataDxfId="160"/>
    <tableColumn id="2" xr3:uid="{B000649D-0084-4C6A-B4E2-6E43CAD45A3E}" name="Name of Student" dataDxfId="159"/>
    <tableColumn id="3" xr3:uid="{EDFC2B52-84A7-4417-994B-25E34212C91C}" name="Quiz 1" dataDxfId="158">
      <calculatedColumnFormula>RANDBETWEEN(3,45)/3</calculatedColumnFormula>
    </tableColumn>
    <tableColumn id="4" xr3:uid="{F72B2366-E7A8-4172-B8FD-3E478334C5D0}" name="Quiz 2" dataDxfId="157">
      <calculatedColumnFormula>RANDBETWEEN(3,45)/3</calculatedColumnFormula>
    </tableColumn>
    <tableColumn id="5" xr3:uid="{D4F3A18D-A0CB-4A0D-8C1B-BA61AFBE520D}" name="Quiz 3" dataDxfId="156">
      <calculatedColumnFormula>RANDBETWEEN(3,45)/3</calculatedColumnFormula>
    </tableColumn>
    <tableColumn id="6" xr3:uid="{7B629057-8BB3-4128-9589-34E1AC0704F4}" name="Quiz Average" dataDxfId="155"/>
    <tableColumn id="7" xr3:uid="{420027E8-335C-4412-8A8E-936CF590D08F}" name="Round of Average" dataDxfId="154"/>
    <tableColumn id="10" xr3:uid="{2182B705-D96B-40BD-B5EC-80A9D8106D78}" name="Attendance" dataDxfId="153">
      <calculatedColumnFormula>RANDBETWEEN(2,10)</calculatedColumnFormula>
    </tableColumn>
    <tableColumn id="13" xr3:uid="{E3EE3355-D812-4100-B409-C23E57715148}" name="Assignment" dataDxfId="152">
      <calculatedColumnFormula>RANDBETWEEN(3,70)/2</calculatedColumnFormula>
    </tableColumn>
    <tableColumn id="14" xr3:uid="{A4217AAF-3C32-4440-83A3-9D961FC741EC}" name="Final" dataDxfId="151">
      <calculatedColumnFormula>RANDBETWEEN(3,80)/2</calculatedColumnFormula>
    </tableColumn>
    <tableColumn id="15" xr3:uid="{77D205AF-8525-48D4-BE2B-51DFE1AF9EE6}" name="Ass &amp; Final" dataDxfId="150"/>
    <tableColumn id="16" xr3:uid="{C501C78F-C229-4F13-B332-ABF130FD0EB0}" name="Round of A &amp; F" dataDxfId="149"/>
    <tableColumn id="17" xr3:uid="{6E051B84-16C6-4776-872E-69867A09E395}" name="Total" dataDxfId="148"/>
    <tableColumn id="18" xr3:uid="{C3B079A0-EBD7-4853-AED1-0534B7386485}" name="Grade Scale" dataDxfId="147"/>
    <tableColumn id="19" xr3:uid="{26C6278F-9103-4714-B34F-C5252AA92B53}" name="Grade Point" dataDxfId="146"/>
    <tableColumn id="20" xr3:uid="{4C04668B-AF5B-44EB-9D35-C7D34D9257B5}" name="Remarks" dataDxfId="145"/>
  </tableColumns>
  <tableStyleInfo name="TableStyleMedium2" showFirstColumn="0" showLastColumn="0" showRowStripes="1" showColumnStripes="0"/>
</table>
</file>

<file path=xl/tables/table2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4" xr:uid="{119D73E0-CD41-4DBE-B502-80D0C67C9004}" name="Four_Semester_Algorithm_Lab" displayName="Four_Semester_Algorithm_Lab" ref="A203:L232" totalsRowShown="0" headerRowDxfId="144" dataDxfId="143">
  <autoFilter ref="A203:L232" xr:uid="{38337A44-E74D-4823-BD89-D66D6250B430}"/>
  <tableColumns count="12">
    <tableColumn id="1" xr3:uid="{2F822A62-1116-4205-BEF0-4B39E0678B7D}" name="Roll No" dataDxfId="142"/>
    <tableColumn id="2" xr3:uid="{7C270FC7-0D25-4676-A104-AFF34C2F119A}" name="Name of Student" dataDxfId="141"/>
    <tableColumn id="7" xr3:uid="{72F26BE5-5F05-4ABB-8A67-BDB2EF246DF6}" name="Lab Perfomance" dataDxfId="140"/>
    <tableColumn id="10" xr3:uid="{9A349C75-693F-4425-BEB5-E6980C111D2E}" name="Attendance" dataDxfId="139">
      <calculatedColumnFormula>RANDBETWEEN(2,10)</calculatedColumnFormula>
    </tableColumn>
    <tableColumn id="13" xr3:uid="{BDD65A14-1F97-47EA-BB1F-5F3C3E130EC5}" name="Assignment" dataDxfId="138">
      <calculatedColumnFormula>RANDBETWEEN(3,70)/2</calculatedColumnFormula>
    </tableColumn>
    <tableColumn id="14" xr3:uid="{4641205A-8BC1-4847-BDAA-87ABBBA655DF}" name="Final" dataDxfId="137">
      <calculatedColumnFormula>RANDBETWEEN(3,80)/2</calculatedColumnFormula>
    </tableColumn>
    <tableColumn id="15" xr3:uid="{CCC07F63-9DF2-4469-9493-45B55C0FE730}" name="Ass &amp; Final" dataDxfId="136"/>
    <tableColumn id="16" xr3:uid="{F8912862-BDB9-4736-A008-E1CC96183933}" name="Round of A &amp; F" dataDxfId="135"/>
    <tableColumn id="17" xr3:uid="{19A26E04-B321-4CA9-AD0B-371250251FF0}" name="Total" dataDxfId="134"/>
    <tableColumn id="18" xr3:uid="{EDFFE9A0-A009-498D-AACB-349CAC7AE539}" name="Grade Scale" dataDxfId="133"/>
    <tableColumn id="19" xr3:uid="{03D6ECA8-E43C-4FF9-9386-36677B29B3D1}" name="Grade Point" dataDxfId="132"/>
    <tableColumn id="20" xr3:uid="{9C47C245-7627-4858-A158-9C6F8DC6DDA0}" name="Remarks" dataDxfId="131"/>
  </tableColumns>
  <tableStyleInfo name="TableStyleMedium2" showFirstColumn="0" showLastColumn="0" showRowStripes="1" showColumnStripes="0"/>
</table>
</file>

<file path=xl/tables/table2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9" xr:uid="{54D450AB-C85E-48FA-AE53-9AD06DC7D4CF}" name="Five_Semester_Database_Management_System" displayName="Five_Semester_Database_Management_System" ref="A156:P185" totalsRowShown="0" headerRowDxfId="130" dataDxfId="129">
  <autoFilter ref="A156:P185" xr:uid="{34628AF6-BDC2-4AC8-A10B-487BCABECE23}"/>
  <tableColumns count="16">
    <tableColumn id="1" xr3:uid="{6386BA60-3D78-4C87-BFC9-46A2A2400824}" name="Roll No" dataDxfId="128"/>
    <tableColumn id="2" xr3:uid="{50845B1F-0620-4B7E-8316-AB85C8E75ADC}" name="Name of Student" dataDxfId="127"/>
    <tableColumn id="3" xr3:uid="{EECDFFE9-8AED-405E-B18F-DCDAA33F6562}" name="Quiz 1" dataDxfId="126">
      <calculatedColumnFormula>RANDBETWEEN(3,45)/3</calculatedColumnFormula>
    </tableColumn>
    <tableColumn id="4" xr3:uid="{59809D01-2589-4146-B657-88E6227E329A}" name="Quiz 2" dataDxfId="125">
      <calculatedColumnFormula>RANDBETWEEN(3,45)/3</calculatedColumnFormula>
    </tableColumn>
    <tableColumn id="5" xr3:uid="{4F5B2212-F713-495F-BCCB-ED5F375445F8}" name="Quiz 3" dataDxfId="124">
      <calculatedColumnFormula>RANDBETWEEN(3,45)/3</calculatedColumnFormula>
    </tableColumn>
    <tableColumn id="6" xr3:uid="{3656D047-4F0C-44D7-AA19-238DF44A65E9}" name="Quiz Average" dataDxfId="123"/>
    <tableColumn id="7" xr3:uid="{97551576-E052-4D66-9C08-6E5E5580C948}" name="Round of Average" dataDxfId="122"/>
    <tableColumn id="10" xr3:uid="{600FB502-45A5-4ACD-BF11-C931B30A1B9D}" name="Attendance" dataDxfId="121">
      <calculatedColumnFormula>RANDBETWEEN(2,10)</calculatedColumnFormula>
    </tableColumn>
    <tableColumn id="13" xr3:uid="{C94CF458-FCFF-44A1-ADA8-29DCD088BA47}" name="Assignment" dataDxfId="120">
      <calculatedColumnFormula>RANDBETWEEN(3,70)/2</calculatedColumnFormula>
    </tableColumn>
    <tableColumn id="14" xr3:uid="{7FDB197D-833B-4F31-9FAA-87040F5CE91D}" name="Final" dataDxfId="119">
      <calculatedColumnFormula>RANDBETWEEN(3,80)/2</calculatedColumnFormula>
    </tableColumn>
    <tableColumn id="15" xr3:uid="{F8808FA3-8254-4820-A5D4-A18FEA877AD9}" name="Ass &amp; Final" dataDxfId="118"/>
    <tableColumn id="16" xr3:uid="{150F65D4-FE27-43BE-81EB-3953BC7D8F36}" name="Round of A &amp; F" dataDxfId="117"/>
    <tableColumn id="17" xr3:uid="{775CE7F7-09DA-4770-B118-9C567F0B5395}" name="Total" dataDxfId="116"/>
    <tableColumn id="18" xr3:uid="{9E9BF887-4A2B-4BF2-9C82-61395CA218BB}" name="Grade Scale" dataDxfId="115"/>
    <tableColumn id="19" xr3:uid="{55A660BD-7FD2-46EA-87B7-B2A1C09129E3}" name="Grade Point" dataDxfId="114"/>
    <tableColumn id="20" xr3:uid="{49AB8C7F-B613-4D94-A45C-1AD77EE46756}" name="Remarks" dataDxfId="113"/>
  </tableColumns>
  <tableStyleInfo name="TableStyleMedium2" showFirstColumn="0" showLastColumn="0" showRowStripes="1" showColumnStripes="0"/>
</table>
</file>

<file path=xl/tables/table2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5" xr:uid="{E8A4B4FB-EB84-4A3E-A66E-B6ACCFC95BBE}" name="Five_Semester_Financial_Management_System" displayName="Five_Semester_Financial_Management_System" ref="A109:T138" totalsRowShown="0" headerRowDxfId="112" dataDxfId="111">
  <autoFilter ref="A109:T138" xr:uid="{7FFD6B7F-165E-47DF-9FF8-3C73F391FDE8}"/>
  <tableColumns count="20">
    <tableColumn id="1" xr3:uid="{6757625B-35C9-40A0-857E-488A2B4374F5}" name="Roll No" dataDxfId="110"/>
    <tableColumn id="2" xr3:uid="{53C29BA1-1DA7-41C9-BCF7-1C00E33A7049}" name="Name of Student" dataDxfId="109"/>
    <tableColumn id="3" xr3:uid="{6E712BF7-63C7-4E59-B9C9-83AC2F44C953}" name="Quiz 1" dataDxfId="108">
      <calculatedColumnFormula>RANDBETWEEN(3,45)/3</calculatedColumnFormula>
    </tableColumn>
    <tableColumn id="4" xr3:uid="{162729F9-75D6-4DD4-8115-CBA2C3FF65DF}" name="Quiz 2" dataDxfId="107">
      <calculatedColumnFormula>RANDBETWEEN(3,45)/3</calculatedColumnFormula>
    </tableColumn>
    <tableColumn id="5" xr3:uid="{943E2863-B8A9-46E1-85C3-716009C1F860}" name="Quiz 3" dataDxfId="106">
      <calculatedColumnFormula>RANDBETWEEN(3,45)/3</calculatedColumnFormula>
    </tableColumn>
    <tableColumn id="6" xr3:uid="{14BE972A-E9F5-4207-9193-7C0AC20D8065}" name="Quiz Average" dataDxfId="105"/>
    <tableColumn id="7" xr3:uid="{DE1C22AE-8442-43B3-B32B-CB0B5DCBB464}" name="Round of Average" dataDxfId="104"/>
    <tableColumn id="8" xr3:uid="{1D3D9742-BD0D-406D-8CFE-085FA1428135}" name="Assignment" dataDxfId="103">
      <calculatedColumnFormula>RANDBETWEEN(2,5)</calculatedColumnFormula>
    </tableColumn>
    <tableColumn id="9" xr3:uid="{99BFF444-BC05-45DB-A98D-87B140463347}" name="Presentation" dataDxfId="102">
      <calculatedColumnFormula>RANDBETWEEN(2,8)</calculatedColumnFormula>
    </tableColumn>
    <tableColumn id="10" xr3:uid="{4DEB5DB0-A838-426F-B1D0-0769018D2322}" name="Attendance" dataDxfId="101">
      <calculatedColumnFormula>RANDBETWEEN(2,7)</calculatedColumnFormula>
    </tableColumn>
    <tableColumn id="11" xr3:uid="{D60127B0-FF74-49C3-A457-28AD2D6F89F7}" name="Total out of APA" dataDxfId="100"/>
    <tableColumn id="12" xr3:uid="{DAE9D821-8AD6-4E18-9602-2619FACBDF63}" name="Round of APA" dataDxfId="99"/>
    <tableColumn id="13" xr3:uid="{2F242C61-16B8-4298-BA9A-3E65476C4777}" name="Midterm" dataDxfId="98">
      <calculatedColumnFormula>RANDBETWEEN(3,50)/2</calculatedColumnFormula>
    </tableColumn>
    <tableColumn id="14" xr3:uid="{8DF227B6-B281-49B8-8E7A-E7885EE11778}" name="Final" dataDxfId="97">
      <calculatedColumnFormula>RANDBETWEEN(3,80)/2</calculatedColumnFormula>
    </tableColumn>
    <tableColumn id="15" xr3:uid="{816886AF-090B-4169-91EA-C86E53E3D49D}" name="Mid &amp; Final" dataDxfId="96"/>
    <tableColumn id="16" xr3:uid="{4B36581B-7C93-4551-B64C-1B075B9F326E}" name="Round of M &amp; F" dataDxfId="95"/>
    <tableColumn id="17" xr3:uid="{BC4133CB-6EAF-408F-8D4C-695F71852774}" name="Total" dataDxfId="94"/>
    <tableColumn id="18" xr3:uid="{1D99E881-1A87-4094-8BFA-A2724C63F832}" name="Grade Scale" dataDxfId="93"/>
    <tableColumn id="19" xr3:uid="{4534596A-0FF1-4C08-84B7-E4B4AFFEAFC1}" name="Grade Point" dataDxfId="92"/>
    <tableColumn id="20" xr3:uid="{F9ED82DB-6A0B-4E92-BF7E-4A30BE04204F}" name="Remarks" dataDxfId="91"/>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2" xr:uid="{C19EB48A-EE3D-4CFA-9D5C-4CBF177CBC30}" name="Basic_Knowledge" displayName="Basic_Knowledge" ref="G1:G2" insertRow="1" totalsRowShown="0" headerRowDxfId="572" dataDxfId="571">
  <autoFilter ref="G1:G2" xr:uid="{C19EB48A-EE3D-4CFA-9D5C-4CBF177CBC30}">
    <filterColumn colId="0" hiddenButton="1"/>
  </autoFilter>
  <tableColumns count="1">
    <tableColumn id="1" xr3:uid="{6A0BD59E-09BD-46FC-A101-09692024CAEE}" name="Column1" dataDxfId="570"/>
  </tableColumns>
  <tableStyleInfo showFirstColumn="0" showLastColumn="0" showRowStripes="0" showColumnStripes="0"/>
</table>
</file>

<file path=xl/tables/table30.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4" xr:uid="{7460024D-3C73-411C-9099-0E8FF41223A4}" name="Five_Semester_SGPA" displayName="Five_Semester_SGPA" ref="A16:N44" totalsRowShown="0" headerRowDxfId="90">
  <autoFilter ref="A16:N44" xr:uid="{44CF9169-B9D9-45E1-B1E8-56ECE303AD82}"/>
  <tableColumns count="14">
    <tableColumn id="1" xr3:uid="{BF1B6BA7-8723-448C-BC25-068C2DE2F476}" name="Roll No" dataDxfId="89"/>
    <tableColumn id="2" xr3:uid="{A3419EFB-F981-4C67-BC9A-49C0BB7E90C4}" name="Name of Student" dataDxfId="88"/>
    <tableColumn id="3" xr3:uid="{C22688F0-22E8-4483-82D8-C7315E844E50}" name="Statistics-I" dataDxfId="87">
      <calculatedColumnFormula>S64</calculatedColumnFormula>
    </tableColumn>
    <tableColumn id="4" xr3:uid="{51CC1B69-4D72-4058-967D-FF7FBB781789}" name="Statistics-I Credit" dataDxfId="86"/>
    <tableColumn id="14" xr3:uid="{119B2F61-D807-4F06-B98E-A12820034639}" name="Statistics-I (Total Grade + Credit)" dataDxfId="85">
      <calculatedColumnFormula>Five_Semester_SGPA[[#This Row],[Statistics-I]]*Five_Semester_SGPA[[#This Row],[Statistics-I Credit]]</calculatedColumnFormula>
    </tableColumn>
    <tableColumn id="5" xr3:uid="{E022EAC6-B5B7-4E6B-B89B-01E50CE7181B}" name="Financial Management System" dataDxfId="84">
      <calculatedColumnFormula>S111</calculatedColumnFormula>
    </tableColumn>
    <tableColumn id="6" xr3:uid="{2E4255FD-B1AB-4894-BAEF-526F9EAB8732}" name="Financial Management System Credit" dataDxfId="83"/>
    <tableColumn id="15" xr3:uid="{314B8528-3A97-4E5A-8A77-E083FCF4D0FF}" name="Financial Management System (Total Grade + Credit)" dataDxfId="82">
      <calculatedColumnFormula>Five_Semester_SGPA[[#This Row],[Financial Management System]]*Five_Semester_SGPA[[#This Row],[Financial Management System Credit]]</calculatedColumnFormula>
    </tableColumn>
    <tableColumn id="7" xr3:uid="{362E0617-DA8E-41A7-BEFA-DABBE217CDF6}" name="Database Management System" dataDxfId="81">
      <calculatedColumnFormula>O158</calculatedColumnFormula>
    </tableColumn>
    <tableColumn id="8" xr3:uid="{06E3BBA7-E71D-4452-A2B8-B4BC9B099140}" name="Database Management System Credit" dataDxfId="80"/>
    <tableColumn id="16" xr3:uid="{60532FE8-0D11-4296-BFD8-41D8804C3D5A}" name="Database Management System (Total Grade + Credit)" dataDxfId="79">
      <calculatedColumnFormula>Five_Semester_SGPA[[#This Row],[Database Management System]]*Five_Semester_SGPA[[#This Row],[Database Management System Credit]]</calculatedColumnFormula>
    </tableColumn>
    <tableColumn id="9" xr3:uid="{3DB418B7-06EF-46AB-973C-C6132BD414E6}" name="Total Subject (Total Grade + Credit)" dataDxfId="78">
      <calculatedColumnFormula>SUM(Five_Semester_SGPA[[#This Row],[Statistics-I (Total Grade + Credit)]]+Five_Semester_SGPA[[#This Row],[Financial Management System (Total Grade + Credit)]]+Five_Semester_SGPA[[#This Row],[Database Management System (Total Grade + Credit)]])</calculatedColumnFormula>
    </tableColumn>
    <tableColumn id="12" xr3:uid="{330D329F-2B2C-4676-A1B6-CA57783255C9}" name="Total Subject Credit" dataDxfId="77">
      <calculatedColumnFormula>SUM(Five_Semester_SGPA[[#This Row],[Statistics-I Credit]]+Five_Semester_SGPA[[#This Row],[Financial Management System Credit]]+Five_Semester_SGPA[[#This Row],[Database Management System Credit]])</calculatedColumnFormula>
    </tableColumn>
    <tableColumn id="13" xr3:uid="{F4C3DB36-E82A-428A-B6F2-ED7A6C87D8C2}" name="5th Semester (SGPA)" dataDxfId="76">
      <calculatedColumnFormula>Five_Semester_SGPA[[#This Row],[Total Subject (Total Grade + Credit)]]/Five_Semester_SGPA[[#This Row],[Total Subject Credit]]</calculatedColumnFormula>
    </tableColumn>
  </tableColumns>
  <tableStyleInfo name="TableStyleMedium15" showFirstColumn="0" showLastColumn="0" showRowStripes="1" showColumnStripes="0"/>
</table>
</file>

<file path=xl/tables/table3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3" xr:uid="{960F4B7F-E872-4BF6-94DC-1DA4F44CD2ED}" name="Five_Semester_Statistics_I" displayName="Five_Semester_Statistics_I" ref="A62:T91" totalsRowShown="0" headerRowDxfId="75" dataDxfId="74">
  <autoFilter ref="A62:T91" xr:uid="{ED37F320-0130-4BD4-A8D5-81E7C1A6FBE9}"/>
  <tableColumns count="20">
    <tableColumn id="1" xr3:uid="{1096D6B4-B8A8-4C23-A5E1-FB1CD873E4BF}" name="Roll No" dataDxfId="73"/>
    <tableColumn id="2" xr3:uid="{0E9C34EA-0702-45A8-B1B1-DA18DD394684}" name="Name of Student" dataDxfId="72"/>
    <tableColumn id="3" xr3:uid="{53E4B205-7DB6-4014-B884-7B951F5DE1CD}" name="Quiz 1" dataDxfId="71">
      <calculatedColumnFormula>RANDBETWEEN(3,45)/3</calculatedColumnFormula>
    </tableColumn>
    <tableColumn id="4" xr3:uid="{256E42A5-7CDF-4045-986C-DE5E207A85B5}" name="Quiz 2" dataDxfId="70">
      <calculatedColumnFormula>RANDBETWEEN(3,45)/3</calculatedColumnFormula>
    </tableColumn>
    <tableColumn id="5" xr3:uid="{44108974-371E-481D-8B03-9283BE844B99}" name="Quiz 3" dataDxfId="69">
      <calculatedColumnFormula>RANDBETWEEN(3,45)/3</calculatedColumnFormula>
    </tableColumn>
    <tableColumn id="6" xr3:uid="{31F6CE07-AA92-437C-9E0A-73A88BCFDF5E}" name="Quiz Average" dataDxfId="68"/>
    <tableColumn id="7" xr3:uid="{D6E77295-4B64-4BB2-B7B7-2A984AE26B13}" name="Round of Average" dataDxfId="67"/>
    <tableColumn id="8" xr3:uid="{7FCE67E8-15F3-4002-8835-E4DE8F61183E}" name="Assignment" dataDxfId="66">
      <calculatedColumnFormula>RANDBETWEEN(2,5)</calculatedColumnFormula>
    </tableColumn>
    <tableColumn id="9" xr3:uid="{9635BE23-079F-43D7-B69C-AD6FD18AD20F}" name="Presentation" dataDxfId="65">
      <calculatedColumnFormula>RANDBETWEEN(2,8)</calculatedColumnFormula>
    </tableColumn>
    <tableColumn id="10" xr3:uid="{F4FF3F89-35C2-4A8D-BE90-B0176431A2EA}" name="Attendance" dataDxfId="64">
      <calculatedColumnFormula>RANDBETWEEN(2,7)</calculatedColumnFormula>
    </tableColumn>
    <tableColumn id="11" xr3:uid="{E0EF1D19-182F-484D-B194-CC76BA14729F}" name="Total out of APA" dataDxfId="63"/>
    <tableColumn id="12" xr3:uid="{729CA123-280D-419C-B053-C222B379521D}" name="Round of APA" dataDxfId="62"/>
    <tableColumn id="13" xr3:uid="{19178870-511A-400F-A0E8-0ECA52F29EE0}" name="Midterm" dataDxfId="61">
      <calculatedColumnFormula>RANDBETWEEN(3,50)/2</calculatedColumnFormula>
    </tableColumn>
    <tableColumn id="14" xr3:uid="{120A88B5-FD95-4E0A-B5BB-45C37EAD00D4}" name="Final" dataDxfId="60">
      <calculatedColumnFormula>RANDBETWEEN(3,80)/2</calculatedColumnFormula>
    </tableColumn>
    <tableColumn id="15" xr3:uid="{2D38B1AB-21EC-4444-B75E-A06EA3979D30}" name="Mid &amp; Final" dataDxfId="59"/>
    <tableColumn id="16" xr3:uid="{61C82309-6A84-430A-AE05-43718B130EC0}" name="Round of M &amp; F" dataDxfId="58"/>
    <tableColumn id="17" xr3:uid="{BCDBD56D-09CF-43E7-B4E1-4554DD63CB07}" name="Total" dataDxfId="57"/>
    <tableColumn id="18" xr3:uid="{265CB127-10F7-414C-96F6-E5CDAD417D60}" name="Grade Scale" dataDxfId="56"/>
    <tableColumn id="19" xr3:uid="{5F719332-CAE1-459F-986B-47ADD481BE92}" name="Grade Point" dataDxfId="55"/>
    <tableColumn id="20" xr3:uid="{E7AF1F6E-5F92-4A4A-B8BD-814B58A2E960}" name="Remarks" dataDxfId="54"/>
  </tableColumns>
  <tableStyleInfo name="TableStyleMedium2" showFirstColumn="0" showLastColumn="0" showRowStripes="1" showColumnStripes="0"/>
</table>
</file>

<file path=xl/tables/table3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D6FE2CE5-1682-4C77-B495-061F48B86773}" name="Student_CGPA" displayName="Student_CGPA" ref="A1:V29" totalsRowShown="0" headerRowDxfId="53" dataDxfId="52">
  <autoFilter ref="A1:V29" xr:uid="{D6FE2CE5-1682-4C77-B495-061F48B86773}"/>
  <tableColumns count="22">
    <tableColumn id="1" xr3:uid="{D9AB5DDC-7A27-4621-8B25-52F572AA6B55}" name="Roll No" dataDxfId="51"/>
    <tableColumn id="2" xr3:uid="{D4D17D45-0FD6-47E9-98EC-98AAAE48AD8C}" name="Name of Student" dataDxfId="50"/>
    <tableColumn id="3" xr3:uid="{75B83C39-EE4E-4398-8CFA-D62F50C246B3}" name="1st Semester SGPA" dataDxfId="49">
      <calculatedColumnFormula>'1st Semester'!Q17</calculatedColumnFormula>
    </tableColumn>
    <tableColumn id="4" xr3:uid="{FD4657CF-BBDE-4714-AF72-8A0D2263D8B3}" name="2nd Semester SGPA" dataDxfId="48">
      <calculatedColumnFormula>'2nd Semester'!T17</calculatedColumnFormula>
    </tableColumn>
    <tableColumn id="5" xr3:uid="{775D1448-4496-4382-895B-352CD0B78A10}" name="3rd Semester SGPA" dataDxfId="47">
      <calculatedColumnFormula>'3rd Semester'!W17</calculatedColumnFormula>
    </tableColumn>
    <tableColumn id="6" xr3:uid="{5CAB2011-C1A1-48C1-80AC-1FE040477D1B}" name="4th Semester SGPA" dataDxfId="46">
      <calculatedColumnFormula>'4th Semester'!Q17</calculatedColumnFormula>
    </tableColumn>
    <tableColumn id="7" xr3:uid="{310F2348-81BF-45DC-A1A2-F927B483FB22}" name="5th Semester SGPA" dataDxfId="45">
      <calculatedColumnFormula>'5th Semester'!N17</calculatedColumnFormula>
    </tableColumn>
    <tableColumn id="18" xr3:uid="{6F9DE465-D47C-4793-BCFE-984F41C3783D}" name="1st Semester (Total Grade + Credit)" dataDxfId="44" dataCellStyle="Bad">
      <calculatedColumnFormula>'1st Semester'!O17</calculatedColumnFormula>
    </tableColumn>
    <tableColumn id="19" xr3:uid="{9305DF35-95A5-4BB3-A953-5D9B83EB2F01}" name="2nd Semester (Total Grade + Credit)" dataDxfId="43" dataCellStyle="Bad">
      <calculatedColumnFormula>'2nd Semester'!R17</calculatedColumnFormula>
    </tableColumn>
    <tableColumn id="20" xr3:uid="{B8C8B1B6-A335-4F2E-A34D-37ACB45293A4}" name="3rd Semester (Total Grade + Credit)" dataDxfId="42" dataCellStyle="Bad">
      <calculatedColumnFormula>'3rd Semester'!U17</calculatedColumnFormula>
    </tableColumn>
    <tableColumn id="21" xr3:uid="{DC68B47C-36BA-4764-8616-A86D7AE1FE79}" name="4th Semester (Total Grade + Credit)" dataDxfId="41" dataCellStyle="Bad">
      <calculatedColumnFormula>'4th Semester'!O17</calculatedColumnFormula>
    </tableColumn>
    <tableColumn id="22" xr3:uid="{8C068981-BE50-4517-AAC5-73D85D7A865D}" name="5th Semester (Total Grade + Credit)" dataDxfId="40" dataCellStyle="Bad">
      <calculatedColumnFormula>'5th Semester'!L17</calculatedColumnFormula>
    </tableColumn>
    <tableColumn id="8" xr3:uid="{921C8D04-E3BC-4511-9482-084B4C490A16}" name="1st Semester Credit" dataDxfId="39">
      <calculatedColumnFormula>'1st Semester'!P17</calculatedColumnFormula>
    </tableColumn>
    <tableColumn id="9" xr3:uid="{3C57004B-AF6A-47E0-98EA-925B60F712E0}" name="2nd Semester Credit" dataDxfId="38">
      <calculatedColumnFormula>'2nd Semester'!S17</calculatedColumnFormula>
    </tableColumn>
    <tableColumn id="10" xr3:uid="{C78F54FF-6A1F-490F-AC95-C95DC02CDD58}" name="3rd Semester Credit" dataDxfId="37">
      <calculatedColumnFormula>'3rd Semester'!V17</calculatedColumnFormula>
    </tableColumn>
    <tableColumn id="11" xr3:uid="{F3F50EC7-7272-4B78-AE44-C45C32830A0B}" name="4th Semester Credit" dataDxfId="36">
      <calculatedColumnFormula>'4th Semester'!P17</calculatedColumnFormula>
    </tableColumn>
    <tableColumn id="12" xr3:uid="{5A6E21FA-271F-4F00-8985-3E5238FA36BD}" name="5th Semester Credit" dataDxfId="35">
      <calculatedColumnFormula>'5th Semester'!M17</calculatedColumnFormula>
    </tableColumn>
    <tableColumn id="13" xr3:uid="{B8350143-3312-4984-9E76-E465182EDFEE}" name="1st Semester CGPA" dataDxfId="34">
      <calculatedColumnFormula>Student_CGPA[[#This Row],[1st Semester (Total Grade + Credit)]]/Student_CGPA[[#This Row],[1st Semester Credit]]</calculatedColumnFormula>
    </tableColumn>
    <tableColumn id="14" xr3:uid="{601878E2-CC09-4147-AD6B-78F06F8A4F8E}" name="2nd Semester CGPA" dataDxfId="33">
      <calculatedColumnFormula>SUM(Student_CGPA[[#This Row],[1st Semester (Total Grade + Credit)]]+Student_CGPA[[#This Row],[2nd Semester (Total Grade + Credit)]])/(Student_CGPA[[#This Row],[1st Semester Credit]]+Student_CGPA[[#This Row],[2nd Semester Credit]])</calculatedColumnFormula>
    </tableColumn>
    <tableColumn id="15" xr3:uid="{EA6B8A30-0121-40BF-89E6-A9741997A450}" name="3rd Semester CGPA" dataDxfId="32">
      <calculatedColumnFormula>SUM(Student_CGPA[[#This Row],[1st Semester (Total Grade + Credit)]:[3rd Semester (Total Grade + Credit)]])/SUM(Student_CGPA[[#This Row],[1st Semester Credit]:[3rd Semester Credit]])</calculatedColumnFormula>
    </tableColumn>
    <tableColumn id="16" xr3:uid="{AEE66F23-DEDF-4A7A-B99F-3B34FFDCB692}" name="4th Semester CGPA" dataDxfId="31">
      <calculatedColumnFormula>SUM(Student_CGPA[[#This Row],[1st Semester (Total Grade + Credit)]:[4th Semester (Total Grade + Credit)]])/SUM(Student_CGPA[[#This Row],[1st Semester Credit]:[4th Semester Credit]])</calculatedColumnFormula>
    </tableColumn>
    <tableColumn id="17" xr3:uid="{7BBCAF98-FEE7-41B5-8777-E29E8CDACA29}" name="5th Semester CGPA" dataDxfId="30">
      <calculatedColumnFormula>SUM(Student_CGPA[[#This Row],[1st Semester (Total Grade + Credit)]:[5th Semester (Total Grade + Credit)]])/SUM(Student_CGPA[[#This Row],[1st Semester Credit]:[5th Semester Credit]])</calculatedColumnFormula>
    </tableColumn>
  </tableColumns>
  <tableStyleInfo name="TableStyleMedium2" showFirstColumn="0" showLastColumn="0" showRowStripes="1" showColumnStripes="0"/>
</table>
</file>

<file path=xl/tables/table3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A4789AA3-E235-4028-BC66-0953186274AB}" name="Employee_Information" displayName="Employee_Information" ref="A1:G29" totalsRowShown="0" dataDxfId="29">
  <autoFilter ref="A1:G29" xr:uid="{A4789AA3-E235-4028-BC66-0953186274AB}"/>
  <tableColumns count="7">
    <tableColumn id="1" xr3:uid="{B73C6AC4-4DD3-4AE3-BCFE-B5ED747B0CD3}" name="Employee ID" dataDxfId="28"/>
    <tableColumn id="2" xr3:uid="{D0FDDD75-7C6D-4024-87E0-9E4F554709CD}" name="Name of Employee" dataDxfId="27"/>
    <tableColumn id="3" xr3:uid="{E57C5332-4893-48B5-BD58-8E98FDABAF5E}" name="Title" dataDxfId="26"/>
    <tableColumn id="4" xr3:uid="{C7627565-2FC9-41AE-B5C3-BEEDEB298631}" name="Bank" dataDxfId="25"/>
    <tableColumn id="5" xr3:uid="{E9DA9B15-559C-4995-9572-D6B35989550E}" name="Contact Number" dataDxfId="24"/>
    <tableColumn id="6" xr3:uid="{F87033B8-0AC2-4A82-87E3-4D1CCC11032E}" name="Email Address" dataDxfId="23"/>
    <tableColumn id="7" xr3:uid="{7C00A027-1216-40E9-945C-9B3E911F35D5}" name="Date of Birth" dataDxfId="22"/>
  </tableColumns>
  <tableStyleInfo name="TableStyleMedium7" showFirstColumn="0" showLastColumn="0" showRowStripes="1" showColumnStripes="0"/>
</table>
</file>

<file path=xl/tables/table3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4" xr:uid="{A86F3EAF-A481-47CB-B2FE-8C0E7A506F90}" name="Employee_Basic_Salary" displayName="Employee_Basic_Salary" ref="A1:C29" totalsRowShown="0">
  <autoFilter ref="A1:C29" xr:uid="{6EAE2D91-8215-415E-B869-381F657727C0}"/>
  <tableColumns count="3">
    <tableColumn id="1" xr3:uid="{ABD39669-CD65-4CE8-8A6E-7F785311E4EE}" name="Employee ID" dataDxfId="21"/>
    <tableColumn id="2" xr3:uid="{222B4D34-0599-410D-9754-677D9A9C72FC}" name="Name of Employee" dataDxfId="20"/>
    <tableColumn id="3" xr3:uid="{473933EF-8BAD-4490-9C17-515FBA214832}" name="Employee Basic Salary" dataDxfId="19"/>
  </tableColumns>
  <tableStyleInfo name="TableStyleMedium2" showFirstColumn="0" showLastColumn="0" showRowStripes="1" showColumnStripes="0"/>
</table>
</file>

<file path=xl/tables/table3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6EAE2D91-8215-415E-B869-381F657727C0}" name="Employee_Gross_Salary" displayName="Employee_Gross_Salary" ref="A1:J29" totalsRowShown="0">
  <autoFilter ref="A1:J29" xr:uid="{6EAE2D91-8215-415E-B869-381F657727C0}"/>
  <tableColumns count="10">
    <tableColumn id="1" xr3:uid="{3DEE549E-7349-4FD8-8BB7-B78BE445D8C4}" name="Employee ID" dataDxfId="18"/>
    <tableColumn id="2" xr3:uid="{30CC7D23-927F-4C09-86AF-9175696CF10C}" name="Name of Employee" dataDxfId="17"/>
    <tableColumn id="3" xr3:uid="{2783475B-2F7F-4A35-A51A-8717B2CDCEE6}" name="Employee Basic Salary" dataDxfId="16">
      <calculatedColumnFormula>Employee_Basic_Salary[[#This Row],[Employee Basic Salary]]</calculatedColumnFormula>
    </tableColumn>
    <tableColumn id="4" xr3:uid="{41A638B7-FB04-4402-9FFC-4B35C4454474}" name="House Rent (%)"/>
    <tableColumn id="5" xr3:uid="{D5A5FBE5-449C-4A8E-A5A0-0E95D2CDC5CA}" name="House Rent" dataDxfId="15">
      <calculatedColumnFormula>C2*D2</calculatedColumnFormula>
    </tableColumn>
    <tableColumn id="6" xr3:uid="{D74238A7-7F4C-406A-9719-DB9F0CE81BF3}" name="Special Allowance (%)" dataDxfId="14"/>
    <tableColumn id="8" xr3:uid="{B5F1577D-6C59-435A-ABB2-C914C295BA3E}" name="Special Allowance" dataDxfId="13">
      <calculatedColumnFormula>C2*F2</calculatedColumnFormula>
    </tableColumn>
    <tableColumn id="7" xr3:uid="{44D29D7E-6E40-409B-A2F3-3AEE2045C2BB}" name="Health Assurance (%)" dataDxfId="12"/>
    <tableColumn id="9" xr3:uid="{2E064F84-4A08-4E6B-BE30-A494CCB4A48D}" name="Health Assurance" dataDxfId="11">
      <calculatedColumnFormula>C2*H2</calculatedColumnFormula>
    </tableColumn>
    <tableColumn id="10" xr3:uid="{4E10A853-7132-438E-837B-23FF75D05E82}" name="Gross Salary" dataDxfId="10">
      <calculatedColumnFormula>SUM(Employee_Gross_Salary[[#This Row],[Employee Basic Salary]]+Employee_Gross_Salary[[#This Row],[House Rent]]+Employee_Gross_Salary[[#This Row],[Special Allowance]]+Employee_Gross_Salary[[#This Row],[Health Assurance]])</calculatedColumnFormula>
    </tableColumn>
  </tableColumns>
  <tableStyleInfo name="TableStyleMedium2" showFirstColumn="0" showLastColumn="0" showRowStripes="1" showColumnStripes="0"/>
</table>
</file>

<file path=xl/tables/table3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D2D1FC71-7186-48F8-AECA-06E203AC29FF}" name="Employee_Net_Salary" displayName="Employee_Net_Salary" ref="A1:J29" totalsRowShown="0">
  <autoFilter ref="A1:J29" xr:uid="{D2D1FC71-7186-48F8-AECA-06E203AC29FF}"/>
  <tableColumns count="10">
    <tableColumn id="1" xr3:uid="{9236EA65-B811-46E5-86CD-B150AB7FBC0B}" name="Employee ID" dataDxfId="9"/>
    <tableColumn id="2" xr3:uid="{895C0F7D-CEF8-4B54-AEC8-888A4A9EEE18}" name="Name of Employee" dataDxfId="8"/>
    <tableColumn id="3" xr3:uid="{5FCD9711-B844-47E2-A987-6FA2B8B1BF08}" name="Gross Salary" dataDxfId="7" dataCellStyle="Good">
      <calculatedColumnFormula>Employee_Gross_Salary[[#This Row],[Gross Salary]]</calculatedColumnFormula>
    </tableColumn>
    <tableColumn id="7" xr3:uid="{58BE6C80-43A4-4714-8DE7-D46B8B277DB6}" name="Provident Fund (%)" dataDxfId="6"/>
    <tableColumn id="5" xr3:uid="{5BE94C7C-3CF8-415E-88BF-3D5176FC1016}" name="Provident Fund" dataDxfId="5">
      <calculatedColumnFormula>Employee_Net_Salary[[#This Row],[Gross Salary]]*Employee_Net_Salary[[#This Row],[Provident Fund (%)]]</calculatedColumnFormula>
    </tableColumn>
    <tableColumn id="8" xr3:uid="{4D1E0335-A2AE-43E3-86CB-9455EF7420F6}" name="Income Tax (%)" dataDxfId="4"/>
    <tableColumn id="6" xr3:uid="{9B3859F8-1B64-4367-A2E5-78B95FF1569F}" name="Income Tax" dataDxfId="3">
      <calculatedColumnFormula>Employee_Net_Salary[[#This Row],[Gross Salary]]*Employee_Net_Salary[[#This Row],[Income Tax (%)]]</calculatedColumnFormula>
    </tableColumn>
    <tableColumn id="9" xr3:uid="{336B50AA-70E9-4ADF-90B7-E21D845BD6C8}" name="Professional Tax (%)" dataDxfId="2"/>
    <tableColumn id="11" xr3:uid="{89C7A8EC-507E-4744-BA26-F7D10334253C}" name="Professional Tax" dataDxfId="1">
      <calculatedColumnFormula>Employee_Net_Salary[[#This Row],[Gross Salary]]*Employee_Net_Salary[[#This Row],[Professional Tax (%)]]</calculatedColumnFormula>
    </tableColumn>
    <tableColumn id="10" xr3:uid="{6B782D38-2BD0-47AB-B5E6-DACEB10F4D1C}" name="Net Salary" dataDxfId="0" dataCellStyle="Good">
      <calculatedColumnFormula>Employee_Net_Salary[[#This Row],[Gross Salary]]-SUM(E2,G2,I2)</calculatedColumnFormula>
    </tableColumn>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58F3E38-2637-4E06-A6D3-50FA5344020E}" name="Student_Information" displayName="Student_Information" ref="A1:G29" dataDxfId="569">
  <autoFilter ref="A1:G29" xr:uid="{C58F3E38-2637-4E06-A6D3-50FA5344020E}"/>
  <tableColumns count="7">
    <tableColumn id="1" xr3:uid="{5ED58FB7-A4EC-49EB-873B-E90FA7E7AAF4}" name="Roll No" totalsRowFunction="count" dataDxfId="568"/>
    <tableColumn id="2" xr3:uid="{380FD1F6-05E8-4F91-BD97-725824E694EB}" name="Name of Student" dataDxfId="567"/>
    <tableColumn id="3" xr3:uid="{DA424C80-F429-49FB-8B84-14873676DE31}" name="Department" dataDxfId="566"/>
    <tableColumn id="4" xr3:uid="{01AFB8A2-165C-45C2-8861-916186A2774A}" name="Faculty" dataDxfId="565"/>
    <tableColumn id="5" xr3:uid="{99AF5705-A3F3-4C0B-BE36-408518187F6A}" name="Contact Number" dataDxfId="564"/>
    <tableColumn id="6" xr3:uid="{3A199372-902E-4779-A9B0-A739CE97A423}" name="Email Address" dataDxfId="563"/>
    <tableColumn id="7" xr3:uid="{3045041D-5E2F-4D5E-BD8A-5EA379E30ECD}" name="Date of Birth" dataDxfId="562"/>
  </tableColumns>
  <tableStyleInfo name="TableStyleMedium3"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ED37F320-0130-4BD4-A8D5-81E7C1A6FBE9}" name="First_Semester_English_I" displayName="First_Semester_English_I" ref="A62:T91" totalsRowShown="0" headerRowDxfId="561" dataDxfId="560">
  <autoFilter ref="A62:T91" xr:uid="{ED37F320-0130-4BD4-A8D5-81E7C1A6FBE9}"/>
  <tableColumns count="20">
    <tableColumn id="1" xr3:uid="{5C702F48-C7CC-4B6C-B6AA-F9FF28605226}" name="Roll No" dataDxfId="559"/>
    <tableColumn id="2" xr3:uid="{EF78A318-9D64-4F8E-8DA4-77994E9312EF}" name="Name of Student" dataDxfId="558"/>
    <tableColumn id="3" xr3:uid="{78E90FA5-6BCF-4B61-B733-F56FB0B1C5A4}" name="Quiz 1" dataDxfId="557">
      <calculatedColumnFormula>RANDBETWEEN(3,45)/3</calculatedColumnFormula>
    </tableColumn>
    <tableColumn id="4" xr3:uid="{582BDD73-8529-41C4-A946-099072DE24AB}" name="Quiz 2" dataDxfId="556">
      <calculatedColumnFormula>RANDBETWEEN(3,45)/3</calculatedColumnFormula>
    </tableColumn>
    <tableColumn id="5" xr3:uid="{8B613767-CC61-42B2-B8E2-DF19F436DC00}" name="Quiz 3" dataDxfId="555">
      <calculatedColumnFormula>RANDBETWEEN(3,45)/3</calculatedColumnFormula>
    </tableColumn>
    <tableColumn id="6" xr3:uid="{BEDD67E7-00B1-4A58-B11A-44A888FB8DAA}" name="Quiz Average" dataDxfId="554"/>
    <tableColumn id="7" xr3:uid="{9AC4D683-5EC4-4853-9E23-B97746E0985A}" name="Round of Average" dataDxfId="553"/>
    <tableColumn id="8" xr3:uid="{7E08C414-D7D8-4085-AC2B-9D273E9F9EB3}" name="Assignment" dataDxfId="552">
      <calculatedColumnFormula>RANDBETWEEN(2,5)</calculatedColumnFormula>
    </tableColumn>
    <tableColumn id="9" xr3:uid="{21E5FC31-28FA-418C-8283-1A0A0B858FF5}" name="Presentation" dataDxfId="551">
      <calculatedColumnFormula>RANDBETWEEN(2,8)</calculatedColumnFormula>
    </tableColumn>
    <tableColumn id="10" xr3:uid="{FBD3FF90-F913-4DF5-A3D0-7865D090A278}" name="Attendance" dataDxfId="550">
      <calculatedColumnFormula>RANDBETWEEN(2,7)</calculatedColumnFormula>
    </tableColumn>
    <tableColumn id="11" xr3:uid="{7544C1AA-0A6B-414F-9B5F-CCB983D908B1}" name="Total out of APA" dataDxfId="549"/>
    <tableColumn id="12" xr3:uid="{3A664F94-94EF-4D15-9A94-2B91C428FFED}" name="Round of APA" dataDxfId="548"/>
    <tableColumn id="13" xr3:uid="{37D44250-C680-44DC-BBE7-1CCB8FBA5FC6}" name="Midterm" dataDxfId="547">
      <calculatedColumnFormula>RANDBETWEEN(3,50)/2</calculatedColumnFormula>
    </tableColumn>
    <tableColumn id="14" xr3:uid="{EC2F43D9-0925-4437-848C-E830C6B8430E}" name="Final" dataDxfId="546">
      <calculatedColumnFormula>RANDBETWEEN(3,80)/2</calculatedColumnFormula>
    </tableColumn>
    <tableColumn id="15" xr3:uid="{6B01E971-8C84-4786-9017-F7036A100319}" name="Mid &amp; Final" dataDxfId="545"/>
    <tableColumn id="16" xr3:uid="{AA603B07-412C-4E54-8858-75C4B1A26CB3}" name="Round of M &amp; F" dataDxfId="544"/>
    <tableColumn id="17" xr3:uid="{8E0B5FBF-555B-4595-9303-9486D0B53BCA}" name="Total" dataDxfId="543"/>
    <tableColumn id="18" xr3:uid="{99227A9C-BE9C-4806-8D80-931F7DEA6E31}" name="Grade Scale" dataDxfId="542"/>
    <tableColumn id="19" xr3:uid="{46C0DA71-2265-48B6-9167-FE9BA982DC19}" name="Grade Point" dataDxfId="541"/>
    <tableColumn id="20" xr3:uid="{A7E43DB4-8E72-478C-A3AC-CCCC99D06672}" name="Remarks" dataDxfId="540"/>
  </tableColumns>
  <tableStyleInfo name="TableStyleMedium2"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44CF9169-B9D9-45E1-B1E8-56ECE303AD82}" name="First_Semester_SGPA" displayName="First_Semester_SGPA" ref="A16:Q44" totalsRowShown="0" headerRowDxfId="539">
  <autoFilter ref="A16:Q44" xr:uid="{44CF9169-B9D9-45E1-B1E8-56ECE303AD82}"/>
  <tableColumns count="17">
    <tableColumn id="1" xr3:uid="{BA500E99-53CD-47C8-9B2F-0F8C8E4EF52D}" name="Roll No" dataDxfId="538"/>
    <tableColumn id="2" xr3:uid="{3C328C2D-41B3-4C2C-BCEF-59AAD0B6CB8F}" name="Name of Student" dataDxfId="537"/>
    <tableColumn id="3" xr3:uid="{257B8095-4EB3-473C-9D53-78C7752652F7}" name="English Language - I" dataDxfId="536">
      <calculatedColumnFormula>S64</calculatedColumnFormula>
    </tableColumn>
    <tableColumn id="4" xr3:uid="{EF122C40-EF15-4910-A92F-4AA69AE1711A}" name="English Language - I Credit" dataDxfId="535"/>
    <tableColumn id="16" xr3:uid="{E7FA9EA1-3DE8-4558-94F2-A6EDC0A9F6D2}" name="English Language - I (Total Grade + Credit)" dataDxfId="534">
      <calculatedColumnFormula>First_Semester_SGPA[[#This Row],[English Language - I]]*First_Semester_SGPA[[#This Row],[English Language - I Credit]]</calculatedColumnFormula>
    </tableColumn>
    <tableColumn id="5" xr3:uid="{63373CD5-D818-4FDD-86A0-0C276F26F353}" name="Mathematics - I" dataDxfId="533">
      <calculatedColumnFormula>S111</calculatedColumnFormula>
    </tableColumn>
    <tableColumn id="6" xr3:uid="{8D201519-996A-4901-985F-DDA3A66EEDA3}" name="Mathematics - I Credit" dataDxfId="532"/>
    <tableColumn id="17" xr3:uid="{BE4CB777-18F5-40E3-BD12-2E90120FD57B}" name="Mathematics - I (Total Grade + Credit)" dataDxfId="531">
      <calculatedColumnFormula>First_Semester_SGPA[[#This Row],[Mathematics - I]]*First_Semester_SGPA[[#This Row],[Mathematics - I Credit]]</calculatedColumnFormula>
    </tableColumn>
    <tableColumn id="7" xr3:uid="{1AE98065-A77D-4FA2-8150-7FD14503F089}" name="Computer Fundamentals" dataDxfId="530">
      <calculatedColumnFormula>S158</calculatedColumnFormula>
    </tableColumn>
    <tableColumn id="8" xr3:uid="{705452E7-E165-45B8-9F00-75280842C2AA}" name="Computer Fundamentals Credit" dataDxfId="529"/>
    <tableColumn id="18" xr3:uid="{60CEA0A7-B60D-4593-A9DB-925E18353F6E}" name="Computer Fundamentals (Total Grade + Credit)" dataDxfId="528">
      <calculatedColumnFormula>First_Semester_SGPA[[#This Row],[Computer Fundamentals]]*First_Semester_SGPA[[#This Row],[Computer Fundamentals Credit]]</calculatedColumnFormula>
    </tableColumn>
    <tableColumn id="9" xr3:uid="{08F3EE30-ECF7-4E0A-BD81-D21D22B4670E}" name="Information Systems Engineering" dataDxfId="527">
      <calculatedColumnFormula>O205</calculatedColumnFormula>
    </tableColumn>
    <tableColumn id="10" xr3:uid="{F6EDBC06-CB8B-4546-8036-2D31918E139B}" name="Information Systems Engineering Credit" dataDxfId="526"/>
    <tableColumn id="19" xr3:uid="{E813FA17-5A23-47A1-BFC6-1CA48997AB1E}" name="Information Systems Engineering (Total Grade + Credit)" dataDxfId="525">
      <calculatedColumnFormula>First_Semester_SGPA[[#This Row],[Information Systems Engineering]]*First_Semester_SGPA[[#This Row],[Information Systems Engineering Credit]]</calculatedColumnFormula>
    </tableColumn>
    <tableColumn id="11" xr3:uid="{94552B12-FB37-44E9-B040-B1D35E79E815}" name="Total Subject (Total Grade + Credit)" dataDxfId="524">
      <calculatedColumnFormula>SUM(E17,H17,K17,N17)</calculatedColumnFormula>
    </tableColumn>
    <tableColumn id="12" xr3:uid="{5E6A6ECC-BA1D-4787-96A3-2DAD101138D4}" name="Total Subject Credit" dataDxfId="523">
      <calculatedColumnFormula>SUM(D17,G17,J17,M17)</calculatedColumnFormula>
    </tableColumn>
    <tableColumn id="13" xr3:uid="{1589A7B0-92E4-4CE1-96FF-35809C5A9FEB}" name="1st Semester (SGPA)" dataDxfId="522">
      <calculatedColumnFormula>SUM(E17,H17,K17,N17)/First_Semester_SGPA[[#This Row],[Total Subject Credit]]</calculatedColumnFormula>
    </tableColumn>
  </tableColumns>
  <tableStyleInfo name="TableStyleMedium15"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0" xr:uid="{7FFD6B7F-165E-47DF-9FF8-3C73F391FDE8}" name="First_Semester_Mathematics" displayName="First_Semester_Mathematics" ref="A109:T138" totalsRowShown="0" headerRowDxfId="521" dataDxfId="520">
  <autoFilter ref="A109:T138" xr:uid="{7FFD6B7F-165E-47DF-9FF8-3C73F391FDE8}"/>
  <tableColumns count="20">
    <tableColumn id="1" xr3:uid="{4AD5A4B1-D3F6-4993-87D8-CA08CB09CDAE}" name="Roll No" dataDxfId="519"/>
    <tableColumn id="2" xr3:uid="{3D3F861B-28FB-4BF9-A21B-0E3FD5E45703}" name="Name of Student" dataDxfId="518"/>
    <tableColumn id="3" xr3:uid="{79221AF5-8FEF-4E19-AF77-BFC030EFA145}" name="Quiz 1" dataDxfId="517">
      <calculatedColumnFormula>RANDBETWEEN(3,45)/3</calculatedColumnFormula>
    </tableColumn>
    <tableColumn id="4" xr3:uid="{59D525FB-5163-4C9E-91F4-9BD3819160DA}" name="Quiz 2" dataDxfId="516">
      <calculatedColumnFormula>RANDBETWEEN(3,45)/3</calculatedColumnFormula>
    </tableColumn>
    <tableColumn id="5" xr3:uid="{F7D268E9-E414-47AC-9AF5-C7A83BAE0379}" name="Quiz 3" dataDxfId="515">
      <calculatedColumnFormula>RANDBETWEEN(3,45)/3</calculatedColumnFormula>
    </tableColumn>
    <tableColumn id="6" xr3:uid="{FBD07317-6697-4B87-9F48-B3C593D950C8}" name="Quiz Average" dataDxfId="514"/>
    <tableColumn id="7" xr3:uid="{B635AD12-0C23-4069-AA89-18AB0678BD90}" name="Round of Average" dataDxfId="513"/>
    <tableColumn id="8" xr3:uid="{0EAA613D-0C39-4B8D-9EA4-701BDFEE6E0A}" name="Assignment" dataDxfId="512">
      <calculatedColumnFormula>RANDBETWEEN(2,5)</calculatedColumnFormula>
    </tableColumn>
    <tableColumn id="9" xr3:uid="{9214FE7E-0CA8-4542-8D7C-F8520A8F26EF}" name="Presentation" dataDxfId="511">
      <calculatedColumnFormula>RANDBETWEEN(2,8)</calculatedColumnFormula>
    </tableColumn>
    <tableColumn id="10" xr3:uid="{04342C98-F2C6-486B-A797-4454CC69FF56}" name="Attendance" dataDxfId="510">
      <calculatedColumnFormula>RANDBETWEEN(2,7)</calculatedColumnFormula>
    </tableColumn>
    <tableColumn id="11" xr3:uid="{B8C3E60E-2361-4C8A-819C-0A2F8C21D00D}" name="Total out of APA" dataDxfId="509"/>
    <tableColumn id="12" xr3:uid="{C4FDAB92-0247-4A95-9542-845E86011E40}" name="Round of APA" dataDxfId="508"/>
    <tableColumn id="13" xr3:uid="{DE76AD4E-0289-4407-88F8-8418F6156062}" name="Midterm" dataDxfId="507">
      <calculatedColumnFormula>RANDBETWEEN(3,50)/2</calculatedColumnFormula>
    </tableColumn>
    <tableColumn id="14" xr3:uid="{89FE5E7C-28C1-41C1-ACC5-9BBE41BF803E}" name="Final" dataDxfId="506">
      <calculatedColumnFormula>RANDBETWEEN(3,80)/2</calculatedColumnFormula>
    </tableColumn>
    <tableColumn id="15" xr3:uid="{BD74A883-781F-431E-BA98-0B8E315E3A06}" name="Mid &amp; Final" dataDxfId="505"/>
    <tableColumn id="16" xr3:uid="{0B935E67-607E-4A32-B9F6-1C3512F71CC1}" name="Round of M &amp; F" dataDxfId="504"/>
    <tableColumn id="17" xr3:uid="{7629C2D2-568E-4934-BF36-807295B83CAF}" name="Total" dataDxfId="503"/>
    <tableColumn id="18" xr3:uid="{A0D8223A-4985-44D6-B2D2-72E20EB0CDA4}" name="Grade Scale" dataDxfId="502"/>
    <tableColumn id="19" xr3:uid="{59B81C79-8AC9-434A-9F4C-647A2B464E23}" name="Grade Point" dataDxfId="501"/>
    <tableColumn id="20" xr3:uid="{11723BEA-1689-42C2-94C3-746200101730}" name="Remarks" dataDxfId="500"/>
  </tableColumns>
  <tableStyleInfo name="TableStyleMedium2"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7" xr:uid="{9000B241-D1D4-4127-8EC6-D4054BB68E31}" name="First_Semester_Computer_Fundamentals" displayName="First_Semester_Computer_Fundamentals" ref="A156:T185" totalsRowShown="0" headerRowDxfId="499" dataDxfId="498">
  <autoFilter ref="A156:T185" xr:uid="{9000B241-D1D4-4127-8EC6-D4054BB68E31}"/>
  <tableColumns count="20">
    <tableColumn id="1" xr3:uid="{D5F2C90B-7B22-4A11-BA11-7BF1F358A617}" name="Roll No" dataDxfId="497"/>
    <tableColumn id="2" xr3:uid="{637EFD4D-E332-4DCC-8F91-FF6D84DC805C}" name="Name of Student" dataDxfId="496"/>
    <tableColumn id="3" xr3:uid="{1FCB7DA9-6214-4998-B7AB-0FC6F2416192}" name="Quiz 1" dataDxfId="495">
      <calculatedColumnFormula>RANDBETWEEN(3,45)/3</calculatedColumnFormula>
    </tableColumn>
    <tableColumn id="4" xr3:uid="{521308CC-940C-48D5-9798-02CF6877F314}" name="Quiz 2" dataDxfId="494">
      <calculatedColumnFormula>RANDBETWEEN(3,45)/3</calculatedColumnFormula>
    </tableColumn>
    <tableColumn id="5" xr3:uid="{D4FB872F-7BAA-487A-A69F-AA874D6F383B}" name="Quiz 3" dataDxfId="493">
      <calculatedColumnFormula>RANDBETWEEN(3,45)/3</calculatedColumnFormula>
    </tableColumn>
    <tableColumn id="6" xr3:uid="{E54937BC-36C6-4939-B0D3-874723525A43}" name="Quiz Average" dataDxfId="492"/>
    <tableColumn id="7" xr3:uid="{8EE819F4-7C3A-4B9D-8185-BBBE0A9269FA}" name="Round of Average" dataDxfId="491"/>
    <tableColumn id="8" xr3:uid="{EA59EC42-D626-476A-A04F-EC50D11A4E85}" name="Assignment" dataDxfId="490">
      <calculatedColumnFormula>RANDBETWEEN(2,5)</calculatedColumnFormula>
    </tableColumn>
    <tableColumn id="9" xr3:uid="{AD780311-488D-4417-987C-4523D3FF2F40}" name="Presentation" dataDxfId="489">
      <calculatedColumnFormula>RANDBETWEEN(2,8)</calculatedColumnFormula>
    </tableColumn>
    <tableColumn id="10" xr3:uid="{B6E0609C-895A-4AD7-88B0-ED45A0C3C9D4}" name="Attendance" dataDxfId="488">
      <calculatedColumnFormula>RANDBETWEEN(2,7)</calculatedColumnFormula>
    </tableColumn>
    <tableColumn id="11" xr3:uid="{41E7FC3D-6DCB-423E-9CD9-E991AD59B7BA}" name="Total out of APA" dataDxfId="487"/>
    <tableColumn id="12" xr3:uid="{57E24375-0C6B-4B15-9FD6-FAC3C5005F08}" name="Round of APA" dataDxfId="486"/>
    <tableColumn id="13" xr3:uid="{AB67C44F-0B5C-42FA-8158-715D53F4F4B1}" name="Midterm" dataDxfId="485">
      <calculatedColumnFormula>RANDBETWEEN(3,50)/2</calculatedColumnFormula>
    </tableColumn>
    <tableColumn id="14" xr3:uid="{2640B57E-32E6-4EE2-A282-65272623BBE8}" name="Final" dataDxfId="484">
      <calculatedColumnFormula>RANDBETWEEN(3,80)/2</calculatedColumnFormula>
    </tableColumn>
    <tableColumn id="15" xr3:uid="{0B8C4539-1AA8-4935-AE6C-E98E9AD36CA1}" name="Mid &amp; Final" dataDxfId="483"/>
    <tableColumn id="16" xr3:uid="{79F91904-E5EC-4DDE-9B37-86E3D0B76469}" name="Round of M &amp; F" dataDxfId="482"/>
    <tableColumn id="17" xr3:uid="{C96549A7-675B-4CD9-9892-146A26964A71}" name="Total" dataDxfId="481"/>
    <tableColumn id="18" xr3:uid="{E6E90C5E-A298-427D-98AD-62F7A792D073}" name="Grade Scale" dataDxfId="480"/>
    <tableColumn id="19" xr3:uid="{BB05FF58-BF8B-4083-AF41-29848F7924F3}" name="Grade Point" dataDxfId="479"/>
    <tableColumn id="20" xr3:uid="{D08F938D-75CC-48B2-BF81-23C38AFFC3C1}" name="Remarks" dataDxfId="478"/>
  </tableColumns>
  <tableStyleInfo name="TableStyleMedium2"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8" xr:uid="{34628AF6-BDC2-4AC8-A10B-487BCABECE23}" name="First_Semester_Information_Systems_Engineering" displayName="First_Semester_Information_Systems_Engineering" ref="A203:P232" totalsRowShown="0" headerRowDxfId="477" dataDxfId="476">
  <autoFilter ref="A203:P232" xr:uid="{34628AF6-BDC2-4AC8-A10B-487BCABECE23}"/>
  <tableColumns count="16">
    <tableColumn id="1" xr3:uid="{3E1C0756-0B54-4DFD-8489-43A1BB48EB49}" name="Roll No" dataDxfId="475"/>
    <tableColumn id="2" xr3:uid="{78964FD0-1FBF-4556-AD33-0A5664877799}" name="Name of Student" dataDxfId="474"/>
    <tableColumn id="3" xr3:uid="{94C71D62-3BA3-4784-91CC-7443B96021CA}" name="Quiz 1" dataDxfId="473">
      <calculatedColumnFormula>RANDBETWEEN(3,45)/3</calculatedColumnFormula>
    </tableColumn>
    <tableColumn id="4" xr3:uid="{C90D86FB-2661-41C8-B397-C89D6309C499}" name="Quiz 2" dataDxfId="472">
      <calculatedColumnFormula>RANDBETWEEN(3,45)/3</calculatedColumnFormula>
    </tableColumn>
    <tableColumn id="5" xr3:uid="{7B526F69-A74C-49A1-B97F-88EA9F097B53}" name="Quiz 3" dataDxfId="471">
      <calculatedColumnFormula>RANDBETWEEN(3,45)/3</calculatedColumnFormula>
    </tableColumn>
    <tableColumn id="6" xr3:uid="{A55457EE-5C9B-4CA3-9B31-7BF58EF5101B}" name="Quiz Average" dataDxfId="470"/>
    <tableColumn id="7" xr3:uid="{16D83257-F66D-4791-B462-E2CC58BEF202}" name="Round of Average" dataDxfId="469"/>
    <tableColumn id="10" xr3:uid="{266BE7B2-0FAE-48D1-B9C1-BED01011CDDD}" name="Attendance" dataDxfId="468">
      <calculatedColumnFormula>RANDBETWEEN(2,10)</calculatedColumnFormula>
    </tableColumn>
    <tableColumn id="13" xr3:uid="{D55506F7-D1DD-4A40-804D-04FE77FABF60}" name="Assignment" dataDxfId="467">
      <calculatedColumnFormula>RANDBETWEEN(3,70)/2</calculatedColumnFormula>
    </tableColumn>
    <tableColumn id="14" xr3:uid="{D8F56FA5-9ECF-4890-95BD-333D9B0F31F0}" name="Final" dataDxfId="466">
      <calculatedColumnFormula>RANDBETWEEN(3,80)/2</calculatedColumnFormula>
    </tableColumn>
    <tableColumn id="15" xr3:uid="{99E54EBE-DF0E-44B1-9214-4E9EE62E2A56}" name="Ass &amp; Final" dataDxfId="465"/>
    <tableColumn id="16" xr3:uid="{F8EB84AA-6B84-4628-A621-EAD6FC80450C}" name="Round of A &amp; F" dataDxfId="464"/>
    <tableColumn id="17" xr3:uid="{81FA80E0-922F-4766-B5E3-113DE7793DD9}" name="Total" dataDxfId="463"/>
    <tableColumn id="18" xr3:uid="{71BF2577-D727-4135-ACEA-7AB348C55A78}" name="Grade Scale" dataDxfId="462"/>
    <tableColumn id="19" xr3:uid="{2E378D5C-7D29-45FE-992E-2E5DF11386FF}" name="Grade Point" dataDxfId="461"/>
    <tableColumn id="20" xr3:uid="{E52F9D94-BD26-4336-ADDF-0B69E2C14F84}" name="Remarks" dataDxfId="460"/>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table" Target="../tables/table32.xml"/></Relationships>
</file>

<file path=xl/worksheets/_rels/sheet11.xml.rels><?xml version="1.0" encoding="UTF-8" standalone="yes"?>
<Relationships xmlns="http://schemas.openxmlformats.org/package/2006/relationships"><Relationship Id="rId3" Type="http://schemas.microsoft.com/office/2007/relationships/slicer" Target="../slicers/slicer7.xml"/><Relationship Id="rId2" Type="http://schemas.openxmlformats.org/officeDocument/2006/relationships/table" Target="../tables/table33.xml"/><Relationship Id="rId1" Type="http://schemas.openxmlformats.org/officeDocument/2006/relationships/drawing" Target="../drawings/drawing9.xml"/></Relationships>
</file>

<file path=xl/worksheets/_rels/sheet12.xml.rels><?xml version="1.0" encoding="UTF-8" standalone="yes"?>
<Relationships xmlns="http://schemas.openxmlformats.org/package/2006/relationships"><Relationship Id="rId3" Type="http://schemas.openxmlformats.org/officeDocument/2006/relationships/table" Target="../tables/table34.xml"/><Relationship Id="rId2" Type="http://schemas.openxmlformats.org/officeDocument/2006/relationships/drawing" Target="../drawings/drawing10.xml"/><Relationship Id="rId1" Type="http://schemas.openxmlformats.org/officeDocument/2006/relationships/printerSettings" Target="../printerSettings/printerSettings10.bin"/><Relationship Id="rId4" Type="http://schemas.microsoft.com/office/2007/relationships/slicer" Target="../slicers/slicer8.xml"/></Relationships>
</file>

<file path=xl/worksheets/_rels/sheet13.xml.rels><?xml version="1.0" encoding="UTF-8" standalone="yes"?>
<Relationships xmlns="http://schemas.openxmlformats.org/package/2006/relationships"><Relationship Id="rId3" Type="http://schemas.openxmlformats.org/officeDocument/2006/relationships/table" Target="../tables/table35.xml"/><Relationship Id="rId2" Type="http://schemas.openxmlformats.org/officeDocument/2006/relationships/drawing" Target="../drawings/drawing11.xml"/><Relationship Id="rId1" Type="http://schemas.openxmlformats.org/officeDocument/2006/relationships/printerSettings" Target="../printerSettings/printerSettings11.bin"/><Relationship Id="rId4" Type="http://schemas.microsoft.com/office/2007/relationships/slicer" Target="../slicers/slicer9.xml"/></Relationships>
</file>

<file path=xl/worksheets/_rels/sheet14.xml.rels><?xml version="1.0" encoding="UTF-8" standalone="yes"?>
<Relationships xmlns="http://schemas.openxmlformats.org/package/2006/relationships"><Relationship Id="rId3" Type="http://schemas.openxmlformats.org/officeDocument/2006/relationships/table" Target="../tables/table36.xml"/><Relationship Id="rId2" Type="http://schemas.openxmlformats.org/officeDocument/2006/relationships/drawing" Target="../drawings/drawing12.xml"/><Relationship Id="rId1" Type="http://schemas.openxmlformats.org/officeDocument/2006/relationships/printerSettings" Target="../printerSettings/printerSettings12.bin"/><Relationship Id="rId4" Type="http://schemas.microsoft.com/office/2007/relationships/slicer" Target="../slicers/slicer10.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3" Type="http://schemas.openxmlformats.org/officeDocument/2006/relationships/table" Target="../tables/table2.x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table" Target="../tables/table4.xml"/><Relationship Id="rId2" Type="http://schemas.openxmlformats.org/officeDocument/2006/relationships/drawing" Target="../drawings/drawing3.xml"/><Relationship Id="rId1" Type="http://schemas.openxmlformats.org/officeDocument/2006/relationships/printerSettings" Target="../printerSettings/printerSettings4.bin"/><Relationship Id="rId4" Type="http://schemas.microsoft.com/office/2007/relationships/slicer" Target="../slicers/slicer1.xml"/></Relationships>
</file>

<file path=xl/worksheets/_rels/sheet5.xml.rels><?xml version="1.0" encoding="UTF-8" standalone="yes"?>
<Relationships xmlns="http://schemas.openxmlformats.org/package/2006/relationships"><Relationship Id="rId8" Type="http://schemas.microsoft.com/office/2007/relationships/slicer" Target="../slicers/slicer2.xml"/><Relationship Id="rId3" Type="http://schemas.openxmlformats.org/officeDocument/2006/relationships/table" Target="../tables/table5.xml"/><Relationship Id="rId7" Type="http://schemas.openxmlformats.org/officeDocument/2006/relationships/table" Target="../tables/table9.xml"/><Relationship Id="rId2" Type="http://schemas.openxmlformats.org/officeDocument/2006/relationships/drawing" Target="../drawings/drawing4.xml"/><Relationship Id="rId1" Type="http://schemas.openxmlformats.org/officeDocument/2006/relationships/printerSettings" Target="../printerSettings/printerSettings5.bin"/><Relationship Id="rId6" Type="http://schemas.openxmlformats.org/officeDocument/2006/relationships/table" Target="../tables/table8.xml"/><Relationship Id="rId5" Type="http://schemas.openxmlformats.org/officeDocument/2006/relationships/table" Target="../tables/table7.xml"/><Relationship Id="rId4" Type="http://schemas.openxmlformats.org/officeDocument/2006/relationships/table" Target="../tables/table6.xml"/></Relationships>
</file>

<file path=xl/worksheets/_rels/sheet6.xml.rels><?xml version="1.0" encoding="UTF-8" standalone="yes"?>
<Relationships xmlns="http://schemas.openxmlformats.org/package/2006/relationships"><Relationship Id="rId8" Type="http://schemas.openxmlformats.org/officeDocument/2006/relationships/table" Target="../tables/table15.xml"/><Relationship Id="rId3" Type="http://schemas.openxmlformats.org/officeDocument/2006/relationships/table" Target="../tables/table10.xml"/><Relationship Id="rId7" Type="http://schemas.openxmlformats.org/officeDocument/2006/relationships/table" Target="../tables/table14.xml"/><Relationship Id="rId2" Type="http://schemas.openxmlformats.org/officeDocument/2006/relationships/drawing" Target="../drawings/drawing5.xml"/><Relationship Id="rId1" Type="http://schemas.openxmlformats.org/officeDocument/2006/relationships/printerSettings" Target="../printerSettings/printerSettings6.bin"/><Relationship Id="rId6" Type="http://schemas.openxmlformats.org/officeDocument/2006/relationships/table" Target="../tables/table13.xml"/><Relationship Id="rId5" Type="http://schemas.openxmlformats.org/officeDocument/2006/relationships/table" Target="../tables/table12.xml"/><Relationship Id="rId4" Type="http://schemas.openxmlformats.org/officeDocument/2006/relationships/table" Target="../tables/table11.xml"/><Relationship Id="rId9" Type="http://schemas.microsoft.com/office/2007/relationships/slicer" Target="../slicers/slicer3.xml"/></Relationships>
</file>

<file path=xl/worksheets/_rels/sheet7.xml.rels><?xml version="1.0" encoding="UTF-8" standalone="yes"?>
<Relationships xmlns="http://schemas.openxmlformats.org/package/2006/relationships"><Relationship Id="rId8" Type="http://schemas.openxmlformats.org/officeDocument/2006/relationships/table" Target="../tables/table21.xml"/><Relationship Id="rId3" Type="http://schemas.openxmlformats.org/officeDocument/2006/relationships/table" Target="../tables/table16.xml"/><Relationship Id="rId7" Type="http://schemas.openxmlformats.org/officeDocument/2006/relationships/table" Target="../tables/table20.xml"/><Relationship Id="rId2" Type="http://schemas.openxmlformats.org/officeDocument/2006/relationships/drawing" Target="../drawings/drawing6.xml"/><Relationship Id="rId1" Type="http://schemas.openxmlformats.org/officeDocument/2006/relationships/printerSettings" Target="../printerSettings/printerSettings7.bin"/><Relationship Id="rId6" Type="http://schemas.openxmlformats.org/officeDocument/2006/relationships/table" Target="../tables/table19.xml"/><Relationship Id="rId5" Type="http://schemas.openxmlformats.org/officeDocument/2006/relationships/table" Target="../tables/table18.xml"/><Relationship Id="rId10" Type="http://schemas.microsoft.com/office/2007/relationships/slicer" Target="../slicers/slicer4.xml"/><Relationship Id="rId4" Type="http://schemas.openxmlformats.org/officeDocument/2006/relationships/table" Target="../tables/table17.xml"/><Relationship Id="rId9" Type="http://schemas.openxmlformats.org/officeDocument/2006/relationships/table" Target="../tables/table22.xml"/></Relationships>
</file>

<file path=xl/worksheets/_rels/sheet8.xml.rels><?xml version="1.0" encoding="UTF-8" standalone="yes"?>
<Relationships xmlns="http://schemas.openxmlformats.org/package/2006/relationships"><Relationship Id="rId8" Type="http://schemas.microsoft.com/office/2007/relationships/slicer" Target="../slicers/slicer5.xml"/><Relationship Id="rId3" Type="http://schemas.openxmlformats.org/officeDocument/2006/relationships/table" Target="../tables/table23.xml"/><Relationship Id="rId7" Type="http://schemas.openxmlformats.org/officeDocument/2006/relationships/table" Target="../tables/table27.xml"/><Relationship Id="rId2" Type="http://schemas.openxmlformats.org/officeDocument/2006/relationships/drawing" Target="../drawings/drawing7.xml"/><Relationship Id="rId1" Type="http://schemas.openxmlformats.org/officeDocument/2006/relationships/printerSettings" Target="../printerSettings/printerSettings8.bin"/><Relationship Id="rId6" Type="http://schemas.openxmlformats.org/officeDocument/2006/relationships/table" Target="../tables/table26.xml"/><Relationship Id="rId5" Type="http://schemas.openxmlformats.org/officeDocument/2006/relationships/table" Target="../tables/table25.xml"/><Relationship Id="rId4" Type="http://schemas.openxmlformats.org/officeDocument/2006/relationships/table" Target="../tables/table24.xml"/></Relationships>
</file>

<file path=xl/worksheets/_rels/sheet9.xml.rels><?xml version="1.0" encoding="UTF-8" standalone="yes"?>
<Relationships xmlns="http://schemas.openxmlformats.org/package/2006/relationships"><Relationship Id="rId3" Type="http://schemas.openxmlformats.org/officeDocument/2006/relationships/table" Target="../tables/table28.xml"/><Relationship Id="rId7" Type="http://schemas.microsoft.com/office/2007/relationships/slicer" Target="../slicers/slicer6.xml"/><Relationship Id="rId2" Type="http://schemas.openxmlformats.org/officeDocument/2006/relationships/drawing" Target="../drawings/drawing8.xml"/><Relationship Id="rId1" Type="http://schemas.openxmlformats.org/officeDocument/2006/relationships/printerSettings" Target="../printerSettings/printerSettings9.bin"/><Relationship Id="rId6" Type="http://schemas.openxmlformats.org/officeDocument/2006/relationships/table" Target="../tables/table31.xml"/><Relationship Id="rId5" Type="http://schemas.openxmlformats.org/officeDocument/2006/relationships/table" Target="../tables/table30.xml"/><Relationship Id="rId4" Type="http://schemas.openxmlformats.org/officeDocument/2006/relationships/table" Target="../tables/table2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AE5B685-393F-4DD0-9DBC-A61BDC196361}">
  <dimension ref="A1:AR77"/>
  <sheetViews>
    <sheetView tabSelected="1" zoomScale="85" zoomScaleNormal="85" workbookViewId="0">
      <selection activeCell="X2" sqref="X2"/>
    </sheetView>
  </sheetViews>
  <sheetFormatPr defaultRowHeight="15" x14ac:dyDescent="0.25"/>
  <cols>
    <col min="1" max="21" width="9.140625" style="133"/>
    <col min="22" max="22" width="9.42578125" style="133" customWidth="1"/>
    <col min="23" max="23" width="9.140625" style="133"/>
    <col min="24" max="24" width="10.42578125" style="133" customWidth="1"/>
    <col min="25" max="25" width="9.140625" style="133"/>
    <col min="26" max="26" width="9.42578125" style="133" customWidth="1"/>
    <col min="27" max="30" width="9.140625" style="133"/>
    <col min="31" max="31" width="10.140625" style="133" customWidth="1"/>
    <col min="32" max="32" width="9.140625" style="133"/>
    <col min="33" max="33" width="11.42578125" style="133" customWidth="1"/>
    <col min="34" max="16384" width="9.140625" style="133"/>
  </cols>
  <sheetData>
    <row r="1" spans="1:44" ht="15" customHeight="1" x14ac:dyDescent="0.25">
      <c r="A1" s="130"/>
      <c r="B1" s="130"/>
      <c r="C1" s="130"/>
      <c r="D1" s="130"/>
      <c r="E1" s="130"/>
      <c r="F1" s="265" t="s">
        <v>173</v>
      </c>
      <c r="G1" s="265"/>
      <c r="H1" s="265"/>
      <c r="I1" s="265"/>
      <c r="J1" s="265"/>
      <c r="K1" s="265"/>
      <c r="L1" s="265"/>
      <c r="M1" s="265"/>
      <c r="N1" s="265"/>
      <c r="O1" s="265"/>
      <c r="P1" s="265"/>
      <c r="Q1" s="265"/>
      <c r="R1" s="265"/>
      <c r="S1" s="130"/>
      <c r="T1" s="130"/>
      <c r="U1" s="130"/>
      <c r="V1" s="130"/>
      <c r="W1" s="130"/>
      <c r="X1" s="177" t="s">
        <v>360</v>
      </c>
    </row>
    <row r="2" spans="1:44" ht="15" customHeight="1" x14ac:dyDescent="0.25">
      <c r="A2" s="130"/>
      <c r="B2" s="130"/>
      <c r="C2" s="130"/>
      <c r="D2" s="130"/>
      <c r="E2" s="130"/>
      <c r="F2" s="265"/>
      <c r="G2" s="265"/>
      <c r="H2" s="265"/>
      <c r="I2" s="265"/>
      <c r="J2" s="265"/>
      <c r="K2" s="265"/>
      <c r="L2" s="265"/>
      <c r="M2" s="265"/>
      <c r="N2" s="265"/>
      <c r="O2" s="265"/>
      <c r="P2" s="265"/>
      <c r="Q2" s="265"/>
      <c r="R2" s="265"/>
      <c r="S2" s="130"/>
      <c r="T2" s="130"/>
      <c r="U2" s="130"/>
      <c r="V2" s="130"/>
      <c r="W2" s="130"/>
      <c r="X2" s="134"/>
      <c r="Y2" s="134"/>
      <c r="Z2" s="134"/>
      <c r="AA2" s="134"/>
      <c r="AB2" s="134"/>
      <c r="AC2" s="134"/>
      <c r="AD2" s="134"/>
      <c r="AE2" s="134"/>
      <c r="AF2" s="134"/>
      <c r="AG2" s="134"/>
      <c r="AH2" s="134"/>
      <c r="AI2" s="134"/>
      <c r="AJ2" s="134"/>
      <c r="AK2" s="134"/>
      <c r="AL2" s="134"/>
      <c r="AM2" s="134"/>
      <c r="AN2" s="134"/>
      <c r="AO2" s="134"/>
      <c r="AP2" s="134"/>
      <c r="AQ2" s="134"/>
      <c r="AR2" s="134"/>
    </row>
    <row r="3" spans="1:44" ht="15" customHeight="1" x14ac:dyDescent="0.25">
      <c r="A3" s="130"/>
      <c r="B3" s="130"/>
      <c r="C3" s="130"/>
      <c r="D3" s="130"/>
      <c r="E3" s="130"/>
      <c r="F3" s="265"/>
      <c r="G3" s="265"/>
      <c r="H3" s="265"/>
      <c r="I3" s="265"/>
      <c r="J3" s="265"/>
      <c r="K3" s="265"/>
      <c r="L3" s="265"/>
      <c r="M3" s="265"/>
      <c r="N3" s="265"/>
      <c r="O3" s="265"/>
      <c r="P3" s="265"/>
      <c r="Q3" s="265"/>
      <c r="R3" s="265"/>
      <c r="S3" s="130"/>
      <c r="T3" s="130"/>
      <c r="U3" s="130"/>
      <c r="V3" s="130"/>
      <c r="W3" s="130"/>
      <c r="X3" s="134"/>
      <c r="Y3" s="134"/>
      <c r="Z3" s="134"/>
      <c r="AA3" s="134"/>
      <c r="AB3" s="134"/>
      <c r="AC3" s="134"/>
      <c r="AD3" s="134"/>
      <c r="AE3" s="134"/>
      <c r="AF3" s="134"/>
      <c r="AG3" s="134"/>
      <c r="AH3" s="134"/>
      <c r="AI3" s="134"/>
      <c r="AJ3" s="134"/>
      <c r="AK3" s="134"/>
      <c r="AL3" s="134"/>
      <c r="AM3" s="134"/>
      <c r="AN3" s="134"/>
      <c r="AO3" s="134"/>
      <c r="AP3" s="134"/>
      <c r="AQ3" s="134"/>
      <c r="AR3" s="134"/>
    </row>
    <row r="4" spans="1:44" ht="15" customHeight="1" x14ac:dyDescent="0.25">
      <c r="A4" s="130"/>
      <c r="B4" s="130"/>
      <c r="C4" s="130"/>
      <c r="D4" s="130"/>
      <c r="E4" s="130"/>
      <c r="F4" s="265"/>
      <c r="G4" s="265"/>
      <c r="H4" s="265"/>
      <c r="I4" s="265"/>
      <c r="J4" s="265"/>
      <c r="K4" s="265"/>
      <c r="L4" s="265"/>
      <c r="M4" s="265"/>
      <c r="N4" s="265"/>
      <c r="O4" s="265"/>
      <c r="P4" s="265"/>
      <c r="Q4" s="265"/>
      <c r="R4" s="265"/>
      <c r="S4" s="130"/>
      <c r="T4" s="130"/>
      <c r="U4" s="130"/>
      <c r="V4" s="130"/>
      <c r="W4" s="130"/>
      <c r="X4" s="134"/>
      <c r="Y4" s="134"/>
      <c r="Z4" s="134"/>
      <c r="AA4" s="134"/>
      <c r="AB4" s="134"/>
      <c r="AC4" s="134"/>
      <c r="AD4" s="134"/>
      <c r="AE4" s="134"/>
      <c r="AF4" s="134"/>
      <c r="AG4" s="134"/>
      <c r="AH4" s="134"/>
      <c r="AI4" s="134"/>
      <c r="AJ4" s="134"/>
      <c r="AK4" s="134"/>
      <c r="AL4" s="134"/>
      <c r="AM4" s="134"/>
      <c r="AN4" s="134"/>
      <c r="AO4" s="134"/>
      <c r="AP4" s="134"/>
      <c r="AQ4" s="134"/>
      <c r="AR4" s="134"/>
    </row>
    <row r="5" spans="1:44" ht="15" customHeight="1" x14ac:dyDescent="0.25">
      <c r="A5" s="130"/>
      <c r="B5" s="130"/>
      <c r="C5" s="130"/>
      <c r="D5" s="130"/>
      <c r="E5" s="130"/>
      <c r="F5" s="265"/>
      <c r="G5" s="265"/>
      <c r="H5" s="265"/>
      <c r="I5" s="265"/>
      <c r="J5" s="265"/>
      <c r="K5" s="265"/>
      <c r="L5" s="265"/>
      <c r="M5" s="265"/>
      <c r="N5" s="265"/>
      <c r="O5" s="265"/>
      <c r="P5" s="265"/>
      <c r="Q5" s="265"/>
      <c r="R5" s="265"/>
      <c r="S5" s="130"/>
      <c r="T5" s="130"/>
      <c r="U5" s="130"/>
      <c r="V5" s="130"/>
      <c r="W5" s="130"/>
      <c r="X5" s="134"/>
      <c r="Y5" s="134"/>
      <c r="Z5" s="134"/>
      <c r="AA5" s="134"/>
      <c r="AB5" s="134"/>
      <c r="AC5" s="134"/>
      <c r="AD5" s="134"/>
      <c r="AE5" s="134"/>
      <c r="AF5" s="134"/>
      <c r="AG5" s="134"/>
      <c r="AH5" s="134"/>
      <c r="AI5" s="134"/>
      <c r="AJ5" s="134"/>
      <c r="AK5" s="134"/>
      <c r="AL5" s="134"/>
      <c r="AM5" s="134"/>
      <c r="AN5" s="134"/>
      <c r="AO5" s="134"/>
      <c r="AP5" s="134"/>
      <c r="AQ5" s="134"/>
      <c r="AR5" s="134"/>
    </row>
    <row r="6" spans="1:44" ht="15" customHeight="1" x14ac:dyDescent="0.25">
      <c r="C6" s="131"/>
      <c r="D6" s="131"/>
      <c r="E6" s="131"/>
      <c r="F6" s="131"/>
      <c r="G6" s="131"/>
      <c r="H6" s="131"/>
      <c r="I6" s="131"/>
      <c r="J6" s="131"/>
      <c r="K6" s="131"/>
      <c r="L6" s="131"/>
      <c r="M6" s="131"/>
      <c r="N6" s="131"/>
      <c r="O6" s="131"/>
      <c r="R6" s="134"/>
      <c r="S6" s="134"/>
      <c r="T6" s="134"/>
      <c r="U6" s="134"/>
      <c r="V6" s="134"/>
      <c r="W6" s="134"/>
      <c r="X6" s="134"/>
      <c r="Y6" s="134"/>
      <c r="Z6" s="134"/>
      <c r="AA6" s="134"/>
      <c r="AB6" s="134"/>
      <c r="AC6" s="134"/>
      <c r="AD6" s="134"/>
      <c r="AE6" s="134"/>
      <c r="AF6" s="134"/>
      <c r="AG6" s="134"/>
      <c r="AH6" s="134"/>
      <c r="AI6" s="134"/>
      <c r="AJ6" s="134"/>
      <c r="AK6" s="134"/>
      <c r="AL6" s="134"/>
      <c r="AM6" s="134"/>
      <c r="AN6" s="134"/>
      <c r="AO6" s="134"/>
      <c r="AP6" s="134"/>
      <c r="AQ6" s="134"/>
      <c r="AR6" s="134"/>
    </row>
    <row r="7" spans="1:44" ht="15" customHeight="1" x14ac:dyDescent="0.25">
      <c r="C7" s="131"/>
      <c r="D7" s="131"/>
      <c r="E7" s="131"/>
      <c r="F7" s="131"/>
      <c r="G7" s="131"/>
      <c r="H7" s="131"/>
      <c r="I7" s="131"/>
      <c r="J7" s="131"/>
      <c r="K7" s="131"/>
      <c r="L7" s="131"/>
      <c r="M7" s="131"/>
      <c r="N7" s="131"/>
      <c r="O7" s="131"/>
      <c r="R7" s="134"/>
      <c r="S7" s="134"/>
      <c r="T7" s="134"/>
      <c r="U7" s="134"/>
      <c r="V7" s="134"/>
      <c r="W7" s="134"/>
      <c r="X7" s="134"/>
      <c r="Y7" s="134"/>
      <c r="Z7" s="134"/>
      <c r="AA7" s="134"/>
      <c r="AB7" s="134"/>
      <c r="AC7" s="134"/>
      <c r="AD7" s="134"/>
      <c r="AE7" s="134"/>
      <c r="AF7" s="134"/>
      <c r="AG7" s="134"/>
      <c r="AH7" s="134"/>
      <c r="AI7" s="134"/>
      <c r="AJ7" s="134"/>
      <c r="AK7" s="134"/>
      <c r="AL7" s="134"/>
      <c r="AM7" s="134"/>
      <c r="AN7" s="134"/>
      <c r="AO7" s="134"/>
      <c r="AP7" s="134"/>
      <c r="AQ7" s="134"/>
      <c r="AR7" s="134"/>
    </row>
    <row r="8" spans="1:44" ht="18.75" x14ac:dyDescent="0.25">
      <c r="C8" s="131"/>
      <c r="D8" s="131"/>
      <c r="E8" s="131"/>
      <c r="F8" s="131"/>
      <c r="G8" s="131"/>
      <c r="H8" s="131"/>
      <c r="I8" s="131"/>
      <c r="J8" s="131"/>
      <c r="K8" s="131"/>
      <c r="L8" s="131"/>
      <c r="M8" s="131"/>
      <c r="N8" s="131"/>
      <c r="O8" s="131"/>
      <c r="R8" s="134"/>
      <c r="S8" s="138"/>
      <c r="T8" s="138"/>
      <c r="U8" s="138"/>
      <c r="V8" s="138"/>
      <c r="W8" s="138"/>
      <c r="X8" s="134"/>
      <c r="Y8" s="134"/>
      <c r="Z8" s="134"/>
      <c r="AA8" s="134"/>
      <c r="AB8" s="134"/>
      <c r="AC8" s="134"/>
      <c r="AD8" s="134"/>
      <c r="AE8" s="134"/>
      <c r="AF8" s="134"/>
      <c r="AG8" s="134"/>
      <c r="AH8" s="134"/>
      <c r="AI8" s="134"/>
      <c r="AJ8" s="134"/>
      <c r="AK8" s="134"/>
      <c r="AL8" s="134"/>
      <c r="AM8" s="134"/>
      <c r="AN8" s="134"/>
      <c r="AO8" s="134"/>
      <c r="AP8" s="134"/>
      <c r="AQ8" s="134"/>
      <c r="AR8" s="134"/>
    </row>
    <row r="9" spans="1:44" ht="15" customHeight="1" x14ac:dyDescent="0.25">
      <c r="C9" s="131"/>
      <c r="D9" s="131"/>
      <c r="E9" s="131"/>
      <c r="F9" s="131"/>
      <c r="G9" s="131"/>
      <c r="H9" s="131"/>
      <c r="I9" s="131"/>
      <c r="J9" s="131"/>
      <c r="K9" s="131"/>
      <c r="L9" s="131"/>
      <c r="M9" s="131"/>
      <c r="N9" s="131"/>
      <c r="O9" s="131"/>
      <c r="R9" s="134"/>
      <c r="S9" s="139"/>
      <c r="T9" s="139"/>
      <c r="U9" s="139"/>
      <c r="V9" s="139"/>
      <c r="W9" s="139"/>
      <c r="X9" s="140"/>
      <c r="Y9" s="140"/>
      <c r="Z9" s="140"/>
      <c r="AA9" s="141"/>
      <c r="AB9" s="141"/>
      <c r="AC9" s="141"/>
      <c r="AD9" s="141"/>
      <c r="AE9" s="141"/>
      <c r="AF9" s="140"/>
      <c r="AG9" s="140"/>
      <c r="AH9" s="140"/>
      <c r="AI9" s="140"/>
      <c r="AJ9" s="140"/>
      <c r="AK9" s="140"/>
      <c r="AL9" s="140"/>
      <c r="AM9" s="134"/>
      <c r="AN9" s="134"/>
      <c r="AO9" s="134"/>
      <c r="AP9" s="134"/>
      <c r="AQ9" s="134"/>
      <c r="AR9" s="134"/>
    </row>
    <row r="10" spans="1:44" ht="15" customHeight="1" x14ac:dyDescent="0.25">
      <c r="C10" s="131"/>
      <c r="D10" s="131"/>
      <c r="E10" s="131"/>
      <c r="F10" s="131"/>
      <c r="G10" s="131"/>
      <c r="H10" s="131"/>
      <c r="I10" s="131"/>
      <c r="J10" s="131"/>
      <c r="K10" s="131"/>
      <c r="L10" s="131"/>
      <c r="M10" s="131"/>
      <c r="N10" s="131"/>
      <c r="O10" s="131"/>
      <c r="R10" s="134"/>
      <c r="S10" s="135"/>
      <c r="T10" s="135"/>
      <c r="U10" s="142"/>
      <c r="V10" s="143"/>
      <c r="W10" s="134"/>
      <c r="X10" s="140"/>
      <c r="Y10" s="140"/>
      <c r="Z10" s="140"/>
      <c r="AA10" s="141"/>
      <c r="AB10" s="141"/>
      <c r="AC10" s="141"/>
      <c r="AD10" s="141"/>
      <c r="AE10" s="141"/>
      <c r="AF10" s="140"/>
      <c r="AG10" s="140"/>
      <c r="AH10" s="140"/>
      <c r="AI10" s="140"/>
      <c r="AJ10" s="140"/>
      <c r="AK10" s="140"/>
      <c r="AL10" s="140"/>
      <c r="AM10" s="134"/>
      <c r="AN10" s="134"/>
      <c r="AO10" s="134"/>
      <c r="AP10" s="134"/>
      <c r="AQ10" s="134"/>
      <c r="AR10" s="134"/>
    </row>
    <row r="11" spans="1:44" ht="15" customHeight="1" x14ac:dyDescent="0.25">
      <c r="C11" s="131"/>
      <c r="D11" s="131"/>
      <c r="E11" s="131"/>
      <c r="F11" s="131"/>
      <c r="G11" s="131"/>
      <c r="H11" s="131"/>
      <c r="I11" s="131"/>
      <c r="J11" s="131"/>
      <c r="K11" s="131"/>
      <c r="L11" s="131"/>
      <c r="M11" s="131"/>
      <c r="N11" s="131"/>
      <c r="O11" s="131"/>
      <c r="R11" s="134"/>
      <c r="S11" s="135"/>
      <c r="T11" s="135"/>
      <c r="U11" s="135"/>
      <c r="V11" s="135"/>
      <c r="W11" s="135"/>
      <c r="X11" s="144"/>
      <c r="Y11" s="144"/>
      <c r="Z11" s="144"/>
      <c r="AA11" s="144"/>
      <c r="AB11" s="144"/>
      <c r="AC11" s="144"/>
      <c r="AD11" s="144"/>
      <c r="AE11" s="144"/>
      <c r="AF11" s="144"/>
      <c r="AG11" s="144"/>
      <c r="AH11" s="144"/>
      <c r="AI11" s="144"/>
      <c r="AJ11" s="144"/>
      <c r="AK11" s="140"/>
      <c r="AL11" s="140"/>
      <c r="AM11" s="134"/>
      <c r="AN11" s="134"/>
      <c r="AO11" s="134"/>
      <c r="AP11" s="134"/>
      <c r="AQ11" s="134"/>
      <c r="AR11" s="134"/>
    </row>
    <row r="12" spans="1:44" ht="15" customHeight="1" x14ac:dyDescent="0.25">
      <c r="C12" s="131"/>
      <c r="D12" s="131"/>
      <c r="E12" s="131"/>
      <c r="F12" s="131"/>
      <c r="G12" s="131"/>
      <c r="H12" s="131"/>
      <c r="I12" s="131"/>
      <c r="J12" s="131"/>
      <c r="K12" s="131"/>
      <c r="L12" s="131"/>
      <c r="M12" s="131"/>
      <c r="N12" s="131"/>
      <c r="O12" s="131"/>
      <c r="R12" s="134"/>
      <c r="S12" s="135"/>
      <c r="T12" s="135"/>
      <c r="U12" s="135"/>
      <c r="V12" s="135"/>
      <c r="W12" s="135"/>
      <c r="X12" s="144"/>
      <c r="Y12" s="144"/>
      <c r="Z12" s="144"/>
      <c r="AA12" s="144"/>
      <c r="AB12" s="144"/>
      <c r="AC12" s="144"/>
      <c r="AD12" s="144"/>
      <c r="AE12" s="144"/>
      <c r="AF12" s="144"/>
      <c r="AG12" s="144"/>
      <c r="AH12" s="144"/>
      <c r="AI12" s="144"/>
      <c r="AJ12" s="144"/>
      <c r="AK12" s="140"/>
      <c r="AL12" s="140"/>
      <c r="AM12" s="134"/>
      <c r="AN12" s="134"/>
      <c r="AO12" s="134"/>
      <c r="AP12" s="134"/>
      <c r="AQ12" s="134"/>
      <c r="AR12" s="134"/>
    </row>
    <row r="13" spans="1:44" ht="15" customHeight="1" thickBot="1" x14ac:dyDescent="0.3">
      <c r="C13" s="131"/>
      <c r="E13" s="131"/>
      <c r="F13" s="131"/>
      <c r="G13" s="131"/>
      <c r="H13" s="131"/>
      <c r="I13" s="131"/>
      <c r="J13" s="145"/>
      <c r="K13" s="145"/>
      <c r="L13" s="145"/>
      <c r="M13" s="145"/>
      <c r="N13" s="145"/>
      <c r="O13" s="145"/>
      <c r="R13" s="134"/>
      <c r="S13" s="135"/>
      <c r="T13" s="135"/>
      <c r="U13" s="135"/>
      <c r="V13" s="135"/>
      <c r="W13" s="135"/>
      <c r="X13" s="144"/>
      <c r="Y13" s="144"/>
      <c r="Z13" s="144"/>
      <c r="AA13" s="144"/>
      <c r="AB13" s="144"/>
      <c r="AC13" s="144"/>
      <c r="AD13" s="144"/>
      <c r="AE13" s="144"/>
      <c r="AF13" s="144"/>
      <c r="AG13" s="144"/>
      <c r="AH13" s="144"/>
      <c r="AI13" s="144"/>
      <c r="AJ13" s="144"/>
      <c r="AK13" s="140"/>
      <c r="AL13" s="140"/>
      <c r="AM13" s="134"/>
      <c r="AN13" s="134"/>
      <c r="AO13" s="134"/>
      <c r="AP13" s="134"/>
      <c r="AQ13" s="134"/>
      <c r="AR13" s="134"/>
    </row>
    <row r="14" spans="1:44" ht="15" customHeight="1" thickTop="1" thickBot="1" x14ac:dyDescent="0.3">
      <c r="C14" s="131"/>
      <c r="D14" s="131"/>
      <c r="E14" s="131"/>
      <c r="F14" s="131"/>
      <c r="G14" s="131"/>
      <c r="H14" s="131"/>
      <c r="I14" s="131"/>
      <c r="J14" s="260" t="s">
        <v>176</v>
      </c>
      <c r="K14" s="260"/>
      <c r="L14" s="260"/>
      <c r="M14" s="260"/>
      <c r="N14" s="260"/>
      <c r="O14" s="260"/>
      <c r="R14" s="134"/>
      <c r="S14" s="135"/>
      <c r="T14" s="135"/>
      <c r="U14" s="135"/>
      <c r="V14" s="135"/>
      <c r="W14" s="135"/>
      <c r="X14" s="144"/>
      <c r="Y14" s="144"/>
      <c r="Z14" s="144"/>
      <c r="AA14" s="144"/>
      <c r="AB14" s="144"/>
      <c r="AC14" s="144"/>
      <c r="AD14" s="144"/>
      <c r="AE14" s="144"/>
      <c r="AF14" s="144"/>
      <c r="AG14" s="144"/>
      <c r="AH14" s="144"/>
      <c r="AI14" s="144"/>
      <c r="AJ14" s="144"/>
      <c r="AK14" s="140"/>
      <c r="AL14" s="140"/>
      <c r="AM14" s="134"/>
      <c r="AN14" s="134"/>
      <c r="AO14" s="134"/>
      <c r="AP14" s="134"/>
      <c r="AQ14" s="134"/>
      <c r="AR14" s="134"/>
    </row>
    <row r="15" spans="1:44" ht="15" customHeight="1" thickTop="1" thickBot="1" x14ac:dyDescent="0.3">
      <c r="C15" s="131"/>
      <c r="D15" s="131"/>
      <c r="E15" s="131"/>
      <c r="F15" s="131"/>
      <c r="G15" s="131"/>
      <c r="H15" s="131"/>
      <c r="I15" s="131"/>
      <c r="J15" s="260"/>
      <c r="K15" s="260"/>
      <c r="L15" s="260"/>
      <c r="M15" s="260"/>
      <c r="N15" s="260"/>
      <c r="O15" s="260"/>
      <c r="R15" s="134"/>
      <c r="S15" s="135"/>
      <c r="T15" s="135"/>
      <c r="U15" s="135"/>
      <c r="V15" s="135"/>
      <c r="W15" s="135"/>
      <c r="X15" s="144"/>
      <c r="Y15" s="144"/>
      <c r="Z15" s="144"/>
      <c r="AA15" s="144"/>
      <c r="AB15" s="144"/>
      <c r="AC15" s="144"/>
      <c r="AD15" s="144"/>
      <c r="AE15" s="144"/>
      <c r="AF15" s="144"/>
      <c r="AG15" s="144"/>
      <c r="AH15" s="144"/>
      <c r="AI15" s="144"/>
      <c r="AJ15" s="144"/>
      <c r="AK15" s="140"/>
      <c r="AL15" s="140"/>
      <c r="AM15" s="134"/>
      <c r="AN15" s="134"/>
      <c r="AO15" s="134"/>
      <c r="AP15" s="134"/>
      <c r="AQ15" s="134"/>
      <c r="AR15" s="134"/>
    </row>
    <row r="16" spans="1:44" ht="15" customHeight="1" thickTop="1" x14ac:dyDescent="0.4">
      <c r="C16" s="131"/>
      <c r="D16" s="131"/>
      <c r="E16" s="131"/>
      <c r="F16" s="131"/>
      <c r="G16" s="131"/>
      <c r="H16" s="131"/>
      <c r="I16" s="131"/>
      <c r="J16" s="131"/>
      <c r="K16" s="131"/>
      <c r="L16" s="131"/>
      <c r="M16" s="131"/>
      <c r="N16" s="131"/>
      <c r="O16" s="131"/>
      <c r="R16" s="134"/>
      <c r="S16" s="135"/>
      <c r="T16" s="135"/>
      <c r="U16" s="135"/>
      <c r="V16" s="135"/>
      <c r="W16" s="135"/>
      <c r="X16" s="146"/>
      <c r="Y16" s="146"/>
      <c r="Z16" s="146"/>
      <c r="AA16" s="146"/>
      <c r="AB16" s="146"/>
      <c r="AC16" s="146"/>
      <c r="AD16" s="144"/>
      <c r="AE16" s="144"/>
      <c r="AF16" s="144"/>
      <c r="AG16" s="144"/>
      <c r="AH16" s="144"/>
      <c r="AI16" s="144"/>
      <c r="AJ16" s="144"/>
      <c r="AK16" s="140"/>
      <c r="AL16" s="140"/>
      <c r="AM16" s="134"/>
      <c r="AN16" s="134"/>
      <c r="AO16" s="134"/>
      <c r="AP16" s="134"/>
      <c r="AQ16" s="134"/>
      <c r="AR16" s="134"/>
    </row>
    <row r="17" spans="1:44" ht="15" customHeight="1" x14ac:dyDescent="0.4">
      <c r="C17" s="131"/>
      <c r="D17" s="131"/>
      <c r="E17" s="131"/>
      <c r="F17" s="131"/>
      <c r="G17" s="131"/>
      <c r="H17" s="131"/>
      <c r="I17" s="131"/>
      <c r="J17" s="131"/>
      <c r="K17" s="264" t="s">
        <v>362</v>
      </c>
      <c r="L17" s="264"/>
      <c r="M17" s="264"/>
      <c r="N17" s="264"/>
      <c r="O17" s="131"/>
      <c r="R17" s="134"/>
      <c r="S17" s="135"/>
      <c r="T17" s="135"/>
      <c r="U17" s="135"/>
      <c r="V17" s="135"/>
      <c r="W17" s="135"/>
      <c r="X17" s="146"/>
      <c r="Y17" s="146"/>
      <c r="Z17" s="146"/>
      <c r="AA17" s="146"/>
      <c r="AB17" s="146"/>
      <c r="AC17" s="146"/>
      <c r="AD17" s="144"/>
      <c r="AE17" s="144"/>
      <c r="AF17" s="144"/>
      <c r="AG17" s="144"/>
      <c r="AH17" s="144"/>
      <c r="AI17" s="144"/>
      <c r="AJ17" s="144"/>
      <c r="AK17" s="140"/>
      <c r="AL17" s="140"/>
      <c r="AM17" s="134"/>
      <c r="AN17" s="134"/>
      <c r="AO17" s="134"/>
      <c r="AP17" s="134"/>
      <c r="AQ17" s="134"/>
      <c r="AR17" s="134"/>
    </row>
    <row r="18" spans="1:44" ht="15" customHeight="1" x14ac:dyDescent="0.25">
      <c r="C18" s="131"/>
      <c r="D18" s="131"/>
      <c r="E18" s="131"/>
      <c r="F18" s="131"/>
      <c r="G18" s="131"/>
      <c r="H18" s="131"/>
      <c r="I18" s="131"/>
      <c r="J18" s="131"/>
      <c r="K18" s="264"/>
      <c r="L18" s="264"/>
      <c r="M18" s="264"/>
      <c r="N18" s="264"/>
      <c r="O18" s="131"/>
      <c r="R18" s="134"/>
      <c r="S18" s="135"/>
      <c r="T18" s="135"/>
      <c r="U18" s="135"/>
      <c r="V18" s="135"/>
      <c r="W18" s="135"/>
      <c r="X18" s="147"/>
      <c r="Y18" s="147"/>
      <c r="Z18" s="147"/>
      <c r="AA18" s="147"/>
      <c r="AB18" s="147"/>
      <c r="AC18" s="147"/>
      <c r="AD18" s="144"/>
      <c r="AE18" s="144"/>
      <c r="AF18" s="144"/>
      <c r="AG18" s="144"/>
      <c r="AH18" s="144"/>
      <c r="AI18" s="144"/>
      <c r="AJ18" s="144"/>
      <c r="AK18" s="140"/>
      <c r="AL18" s="140"/>
      <c r="AM18" s="134"/>
      <c r="AN18" s="134"/>
      <c r="AO18" s="134"/>
      <c r="AP18" s="134"/>
      <c r="AQ18" s="134"/>
      <c r="AR18" s="134"/>
    </row>
    <row r="19" spans="1:44" ht="19.5" x14ac:dyDescent="0.25">
      <c r="A19" s="134"/>
      <c r="B19" s="134"/>
      <c r="C19" s="131"/>
      <c r="D19" s="131"/>
      <c r="E19" s="131"/>
      <c r="F19" s="267" t="s">
        <v>178</v>
      </c>
      <c r="G19" s="267"/>
      <c r="H19" s="267"/>
      <c r="I19" s="148"/>
      <c r="J19" s="148"/>
      <c r="K19" s="148"/>
      <c r="L19" s="131"/>
      <c r="M19" s="131"/>
      <c r="N19" s="131"/>
      <c r="O19" s="131"/>
      <c r="P19" s="267" t="s">
        <v>177</v>
      </c>
      <c r="Q19" s="267"/>
      <c r="R19" s="267"/>
      <c r="S19" s="135"/>
      <c r="T19" s="135"/>
      <c r="U19" s="135"/>
      <c r="V19" s="135"/>
      <c r="W19" s="135" t="s">
        <v>361</v>
      </c>
      <c r="X19" s="149"/>
      <c r="Y19" s="149"/>
      <c r="Z19" s="149"/>
      <c r="AA19" s="149"/>
      <c r="AB19" s="149"/>
      <c r="AC19" s="149"/>
      <c r="AD19" s="144"/>
      <c r="AE19" s="144"/>
      <c r="AF19" s="144"/>
      <c r="AG19" s="144"/>
      <c r="AH19" s="144"/>
      <c r="AI19" s="144"/>
      <c r="AJ19" s="144"/>
      <c r="AK19" s="140"/>
      <c r="AL19" s="140"/>
      <c r="AM19" s="134"/>
      <c r="AN19" s="134"/>
      <c r="AO19" s="134"/>
      <c r="AP19" s="134"/>
      <c r="AQ19" s="134"/>
      <c r="AR19" s="134"/>
    </row>
    <row r="20" spans="1:44" ht="19.5" x14ac:dyDescent="0.25">
      <c r="A20" s="134"/>
      <c r="B20" s="134"/>
      <c r="C20" s="131"/>
      <c r="D20" s="131"/>
      <c r="E20" s="131"/>
      <c r="F20" s="267"/>
      <c r="G20" s="267"/>
      <c r="H20" s="267"/>
      <c r="I20" s="148"/>
      <c r="J20" s="148"/>
      <c r="K20" s="148"/>
      <c r="L20" s="131"/>
      <c r="M20" s="131"/>
      <c r="N20" s="131"/>
      <c r="O20" s="131"/>
      <c r="P20" s="267"/>
      <c r="Q20" s="267"/>
      <c r="R20" s="267"/>
      <c r="S20" s="135"/>
      <c r="T20" s="135"/>
      <c r="U20" s="135"/>
      <c r="V20" s="135"/>
      <c r="W20" s="135"/>
      <c r="X20" s="150"/>
      <c r="Y20" s="150"/>
      <c r="Z20" s="150"/>
      <c r="AA20" s="150"/>
      <c r="AB20" s="150"/>
      <c r="AC20" s="149"/>
      <c r="AD20" s="144"/>
      <c r="AE20" s="144"/>
      <c r="AF20" s="144"/>
      <c r="AG20" s="144"/>
      <c r="AH20" s="144"/>
      <c r="AI20" s="144"/>
      <c r="AJ20" s="144"/>
      <c r="AK20" s="140"/>
      <c r="AL20" s="140"/>
      <c r="AM20" s="134"/>
      <c r="AN20" s="134"/>
      <c r="AO20" s="134"/>
      <c r="AP20" s="134"/>
      <c r="AQ20" s="134"/>
      <c r="AR20" s="134"/>
    </row>
    <row r="21" spans="1:44" ht="19.5" x14ac:dyDescent="0.25">
      <c r="A21" s="134"/>
      <c r="B21" s="134"/>
      <c r="C21" s="131"/>
      <c r="D21" s="131"/>
      <c r="E21" s="131"/>
      <c r="F21" s="268" t="s">
        <v>179</v>
      </c>
      <c r="G21" s="268"/>
      <c r="H21" s="268"/>
      <c r="I21" s="166"/>
      <c r="J21" s="166"/>
      <c r="K21" s="166"/>
      <c r="L21" s="167"/>
      <c r="M21" s="167"/>
      <c r="N21" s="167"/>
      <c r="O21" s="167"/>
      <c r="P21" s="268" t="s">
        <v>180</v>
      </c>
      <c r="Q21" s="268"/>
      <c r="R21" s="268"/>
      <c r="S21" s="135"/>
      <c r="T21" s="135"/>
      <c r="U21" s="135"/>
      <c r="V21" s="135"/>
      <c r="W21" s="135"/>
      <c r="X21" s="150"/>
      <c r="Y21" s="150"/>
      <c r="Z21" s="150"/>
      <c r="AA21" s="150"/>
      <c r="AB21" s="150"/>
      <c r="AC21" s="149"/>
      <c r="AD21" s="144"/>
      <c r="AE21" s="144"/>
      <c r="AF21" s="144"/>
      <c r="AG21" s="144"/>
      <c r="AH21" s="144"/>
      <c r="AI21" s="144"/>
      <c r="AJ21" s="144"/>
      <c r="AK21" s="140"/>
      <c r="AL21" s="140"/>
      <c r="AM21" s="134"/>
      <c r="AN21" s="134"/>
      <c r="AO21" s="134"/>
      <c r="AP21" s="134"/>
      <c r="AQ21" s="134"/>
      <c r="AR21" s="134"/>
    </row>
    <row r="22" spans="1:44" ht="18" customHeight="1" x14ac:dyDescent="0.25">
      <c r="A22" s="134"/>
      <c r="B22" s="134"/>
      <c r="C22" s="131"/>
      <c r="D22" s="131"/>
      <c r="E22" s="131"/>
      <c r="F22" s="268"/>
      <c r="G22" s="268"/>
      <c r="H22" s="268"/>
      <c r="I22" s="166"/>
      <c r="J22" s="166"/>
      <c r="K22" s="166"/>
      <c r="L22" s="167"/>
      <c r="M22" s="167"/>
      <c r="N22" s="167"/>
      <c r="O22" s="167"/>
      <c r="P22" s="268"/>
      <c r="Q22" s="268"/>
      <c r="R22" s="268"/>
      <c r="S22" s="135"/>
      <c r="T22" s="135"/>
      <c r="U22" s="135"/>
      <c r="V22" s="135"/>
      <c r="W22" s="135"/>
      <c r="X22" s="150"/>
      <c r="Y22" s="150"/>
      <c r="Z22" s="150"/>
      <c r="AA22" s="150"/>
      <c r="AB22" s="150"/>
      <c r="AC22" s="149"/>
      <c r="AD22" s="144"/>
      <c r="AE22" s="144"/>
      <c r="AF22" s="144"/>
      <c r="AG22" s="144"/>
      <c r="AH22" s="144"/>
      <c r="AI22" s="144"/>
      <c r="AJ22" s="144"/>
      <c r="AK22" s="140"/>
      <c r="AL22" s="140"/>
      <c r="AM22" s="134"/>
      <c r="AN22" s="134"/>
      <c r="AO22" s="134"/>
      <c r="AP22" s="134"/>
      <c r="AQ22" s="134"/>
      <c r="AR22" s="134"/>
    </row>
    <row r="23" spans="1:44" ht="19.5" x14ac:dyDescent="0.25">
      <c r="A23" s="134"/>
      <c r="B23" s="134"/>
      <c r="C23" s="131"/>
      <c r="D23" s="131"/>
      <c r="E23" s="131"/>
      <c r="F23" s="261" t="s">
        <v>172</v>
      </c>
      <c r="G23" s="261"/>
      <c r="H23" s="261"/>
      <c r="I23" s="166"/>
      <c r="J23" s="166"/>
      <c r="K23" s="166"/>
      <c r="L23" s="167"/>
      <c r="M23" s="167"/>
      <c r="N23" s="167"/>
      <c r="O23" s="167"/>
      <c r="P23" s="261" t="s">
        <v>181</v>
      </c>
      <c r="Q23" s="261"/>
      <c r="R23" s="261"/>
      <c r="S23" s="135"/>
      <c r="T23" s="135"/>
      <c r="U23" s="135"/>
      <c r="V23" s="135"/>
      <c r="W23" s="135"/>
      <c r="X23" s="144"/>
      <c r="Y23" s="144"/>
      <c r="Z23" s="144"/>
      <c r="AA23" s="144"/>
      <c r="AB23" s="144"/>
      <c r="AC23" s="144"/>
      <c r="AD23" s="144"/>
      <c r="AE23" s="144"/>
      <c r="AF23" s="144"/>
      <c r="AG23" s="144"/>
      <c r="AH23" s="144"/>
      <c r="AI23" s="144"/>
      <c r="AJ23" s="144"/>
      <c r="AK23" s="140"/>
      <c r="AL23" s="140"/>
      <c r="AM23" s="134"/>
      <c r="AN23" s="134"/>
      <c r="AO23" s="134"/>
      <c r="AP23" s="134"/>
      <c r="AQ23" s="134"/>
      <c r="AR23" s="134"/>
    </row>
    <row r="24" spans="1:44" ht="23.25" x14ac:dyDescent="0.25">
      <c r="C24" s="131"/>
      <c r="D24" s="131"/>
      <c r="E24" s="137"/>
      <c r="F24" s="168"/>
      <c r="G24" s="168"/>
      <c r="H24" s="266" t="s">
        <v>182</v>
      </c>
      <c r="I24" s="266"/>
      <c r="J24" s="266"/>
      <c r="K24" s="266"/>
      <c r="L24" s="266"/>
      <c r="M24" s="266"/>
      <c r="N24" s="266"/>
      <c r="O24" s="266"/>
      <c r="P24" s="266"/>
      <c r="Q24" s="169"/>
      <c r="R24" s="170"/>
      <c r="S24" s="258"/>
      <c r="T24" s="258"/>
      <c r="U24" s="151"/>
      <c r="V24" s="143"/>
      <c r="W24" s="143"/>
      <c r="X24" s="140"/>
      <c r="Y24" s="140"/>
      <c r="Z24" s="140"/>
      <c r="AA24" s="152"/>
      <c r="AB24" s="152"/>
      <c r="AC24" s="152"/>
      <c r="AD24" s="152"/>
      <c r="AE24" s="152"/>
      <c r="AF24" s="152"/>
      <c r="AG24" s="152"/>
      <c r="AH24" s="152"/>
      <c r="AI24" s="152"/>
      <c r="AJ24" s="153"/>
      <c r="AK24" s="140"/>
      <c r="AL24" s="140"/>
      <c r="AM24" s="134"/>
      <c r="AN24" s="134"/>
      <c r="AO24" s="134"/>
      <c r="AP24" s="134"/>
      <c r="AQ24" s="134"/>
      <c r="AR24" s="134"/>
    </row>
    <row r="25" spans="1:44" ht="23.25" x14ac:dyDescent="0.25">
      <c r="C25" s="131"/>
      <c r="D25" s="131"/>
      <c r="E25" s="131"/>
      <c r="F25" s="171"/>
      <c r="G25" s="171"/>
      <c r="H25" s="171"/>
      <c r="I25" s="266" t="s">
        <v>183</v>
      </c>
      <c r="J25" s="266"/>
      <c r="K25" s="266"/>
      <c r="L25" s="266"/>
      <c r="M25" s="266"/>
      <c r="N25" s="266"/>
      <c r="O25" s="266"/>
      <c r="P25" s="169"/>
      <c r="Q25" s="169"/>
      <c r="R25" s="170"/>
      <c r="S25" s="258"/>
      <c r="T25" s="258"/>
      <c r="U25" s="134"/>
      <c r="V25" s="143"/>
      <c r="W25" s="143"/>
      <c r="X25" s="140"/>
      <c r="Y25" s="140"/>
      <c r="Z25" s="154"/>
      <c r="AA25" s="136"/>
      <c r="AB25" s="155"/>
      <c r="AC25" s="156"/>
      <c r="AD25" s="156"/>
      <c r="AE25" s="156"/>
      <c r="AF25" s="155"/>
      <c r="AG25" s="155"/>
      <c r="AH25" s="155"/>
      <c r="AI25" s="136"/>
      <c r="AJ25" s="140"/>
      <c r="AK25" s="140"/>
      <c r="AL25" s="140"/>
      <c r="AM25" s="134"/>
      <c r="AN25" s="134"/>
      <c r="AO25" s="134"/>
      <c r="AP25" s="134"/>
      <c r="AQ25" s="134"/>
      <c r="AR25" s="134"/>
    </row>
    <row r="26" spans="1:44" ht="19.5" x14ac:dyDescent="0.25">
      <c r="C26" s="131"/>
      <c r="D26" s="131"/>
      <c r="E26" s="131"/>
      <c r="F26" s="167"/>
      <c r="G26" s="166"/>
      <c r="H26" s="166"/>
      <c r="I26" s="167"/>
      <c r="J26" s="263" t="s">
        <v>184</v>
      </c>
      <c r="K26" s="263"/>
      <c r="L26" s="263"/>
      <c r="M26" s="263"/>
      <c r="N26" s="263"/>
      <c r="O26" s="167"/>
      <c r="P26" s="169"/>
      <c r="Q26" s="169"/>
      <c r="R26" s="170"/>
      <c r="S26" s="261"/>
      <c r="T26" s="261"/>
      <c r="U26" s="261"/>
      <c r="V26" s="261"/>
      <c r="W26" s="261"/>
      <c r="X26" s="140"/>
      <c r="Y26" s="140"/>
      <c r="Z26" s="140"/>
      <c r="AA26" s="136"/>
      <c r="AB26" s="155"/>
      <c r="AC26" s="156"/>
      <c r="AD26" s="156"/>
      <c r="AE26" s="156"/>
      <c r="AF26" s="155"/>
      <c r="AG26" s="155"/>
      <c r="AH26" s="155"/>
      <c r="AI26" s="136"/>
      <c r="AJ26" s="140"/>
      <c r="AK26" s="140"/>
      <c r="AL26" s="140"/>
      <c r="AM26" s="134"/>
      <c r="AN26" s="134"/>
      <c r="AO26" s="134"/>
      <c r="AP26" s="134"/>
      <c r="AQ26" s="134"/>
      <c r="AR26" s="134"/>
    </row>
    <row r="27" spans="1:44" ht="15" customHeight="1" x14ac:dyDescent="0.25">
      <c r="C27" s="131"/>
      <c r="D27" s="131"/>
      <c r="E27" s="131"/>
      <c r="F27" s="131"/>
      <c r="G27" s="157"/>
      <c r="H27" s="157"/>
      <c r="I27" s="157"/>
      <c r="J27" s="157"/>
      <c r="K27" s="157"/>
      <c r="L27" s="131"/>
      <c r="M27" s="131"/>
      <c r="N27" s="131"/>
      <c r="O27" s="131"/>
      <c r="R27" s="134"/>
      <c r="S27" s="135"/>
      <c r="T27" s="135"/>
      <c r="U27" s="134"/>
      <c r="V27" s="143"/>
      <c r="W27" s="134"/>
      <c r="X27" s="140"/>
      <c r="Y27" s="140"/>
      <c r="Z27" s="140"/>
      <c r="AA27" s="159"/>
      <c r="AB27" s="140"/>
      <c r="AC27" s="160"/>
      <c r="AD27" s="160"/>
      <c r="AE27" s="160"/>
      <c r="AF27" s="160"/>
      <c r="AG27" s="160"/>
      <c r="AH27" s="161"/>
      <c r="AI27" s="140"/>
      <c r="AJ27" s="140"/>
      <c r="AK27" s="140"/>
      <c r="AL27" s="140"/>
      <c r="AM27" s="134"/>
      <c r="AN27" s="134"/>
      <c r="AO27" s="134"/>
      <c r="AP27" s="134"/>
      <c r="AQ27" s="134"/>
      <c r="AR27" s="134"/>
    </row>
    <row r="28" spans="1:44" ht="15.75" customHeight="1" x14ac:dyDescent="0.25">
      <c r="C28" s="131"/>
      <c r="D28" s="131"/>
      <c r="E28" s="131"/>
      <c r="F28" s="131"/>
      <c r="G28" s="158"/>
      <c r="H28" s="158"/>
      <c r="I28" s="158"/>
      <c r="J28" s="158"/>
      <c r="K28" s="158"/>
      <c r="L28" s="131"/>
      <c r="M28" s="131"/>
      <c r="N28" s="131"/>
      <c r="O28" s="131"/>
      <c r="R28" s="134"/>
      <c r="S28" s="135"/>
      <c r="T28" s="135"/>
      <c r="U28" s="134"/>
      <c r="V28" s="143"/>
      <c r="W28" s="134"/>
      <c r="X28" s="134"/>
      <c r="Y28" s="134"/>
      <c r="Z28" s="134"/>
      <c r="AA28" s="162"/>
      <c r="AB28" s="134"/>
      <c r="AC28" s="262"/>
      <c r="AD28" s="262"/>
      <c r="AE28" s="262"/>
      <c r="AF28" s="262"/>
      <c r="AG28" s="162"/>
      <c r="AH28" s="163"/>
      <c r="AI28" s="134"/>
      <c r="AJ28" s="134"/>
      <c r="AK28" s="134"/>
      <c r="AL28" s="134"/>
      <c r="AM28" s="134"/>
      <c r="AN28" s="134"/>
      <c r="AO28" s="134"/>
      <c r="AP28" s="134"/>
      <c r="AQ28" s="134"/>
      <c r="AR28" s="134"/>
    </row>
    <row r="29" spans="1:44" ht="23.25" x14ac:dyDescent="0.25">
      <c r="C29" s="131"/>
      <c r="D29" s="131"/>
      <c r="E29" s="131"/>
      <c r="F29" s="173"/>
      <c r="G29" s="173"/>
      <c r="H29" s="173"/>
      <c r="I29" s="173"/>
      <c r="J29" s="173"/>
      <c r="K29" s="173"/>
      <c r="L29" s="173"/>
      <c r="M29" s="131"/>
      <c r="N29" s="131"/>
      <c r="O29" s="131"/>
      <c r="R29" s="134"/>
      <c r="S29" s="135"/>
      <c r="T29" s="135"/>
      <c r="U29" s="134"/>
      <c r="V29" s="143"/>
      <c r="W29" s="134"/>
      <c r="X29" s="134"/>
      <c r="Y29" s="134"/>
      <c r="Z29" s="134"/>
      <c r="AA29" s="162"/>
      <c r="AB29" s="134"/>
      <c r="AC29" s="262"/>
      <c r="AD29" s="262"/>
      <c r="AE29" s="262"/>
      <c r="AF29" s="162"/>
      <c r="AG29" s="162"/>
      <c r="AH29" s="163"/>
      <c r="AI29" s="134"/>
      <c r="AJ29" s="134"/>
      <c r="AK29" s="134"/>
      <c r="AL29" s="134"/>
      <c r="AM29" s="134"/>
      <c r="AN29" s="134"/>
      <c r="AO29" s="134"/>
      <c r="AP29" s="134"/>
      <c r="AQ29" s="134"/>
      <c r="AR29" s="134"/>
    </row>
    <row r="30" spans="1:44" ht="17.25" customHeight="1" x14ac:dyDescent="0.25">
      <c r="C30" s="131"/>
      <c r="D30" s="131"/>
      <c r="E30" s="131"/>
      <c r="F30" s="164"/>
      <c r="G30" s="164"/>
      <c r="H30" s="164"/>
      <c r="I30" s="164"/>
      <c r="J30" s="164"/>
      <c r="K30" s="164"/>
      <c r="L30" s="164"/>
      <c r="M30" s="131"/>
      <c r="N30" s="131"/>
      <c r="O30" s="131"/>
      <c r="R30" s="134"/>
      <c r="S30" s="135"/>
      <c r="T30" s="135"/>
      <c r="U30" s="134"/>
      <c r="V30" s="143"/>
      <c r="W30" s="134"/>
      <c r="X30" s="134"/>
      <c r="Y30" s="134"/>
      <c r="Z30" s="134"/>
      <c r="AA30" s="134"/>
      <c r="AB30" s="134"/>
      <c r="AC30" s="134"/>
      <c r="AD30" s="134"/>
      <c r="AE30" s="134"/>
      <c r="AF30" s="134"/>
      <c r="AG30" s="134"/>
      <c r="AH30" s="134"/>
      <c r="AI30" s="134"/>
      <c r="AJ30" s="134"/>
      <c r="AK30" s="134"/>
      <c r="AL30" s="134"/>
      <c r="AM30" s="134"/>
      <c r="AN30" s="134"/>
      <c r="AO30" s="134"/>
      <c r="AP30" s="134"/>
      <c r="AQ30" s="134"/>
      <c r="AR30" s="134"/>
    </row>
    <row r="31" spans="1:44" x14ac:dyDescent="0.25">
      <c r="C31" s="131"/>
      <c r="D31" s="131"/>
      <c r="E31" s="131"/>
      <c r="F31" s="131"/>
      <c r="G31" s="131"/>
      <c r="H31" s="131"/>
      <c r="I31" s="131"/>
      <c r="J31" s="131"/>
      <c r="K31" s="131"/>
      <c r="L31" s="131"/>
      <c r="M31" s="131"/>
      <c r="N31" s="131"/>
      <c r="O31" s="131"/>
      <c r="R31" s="134"/>
      <c r="S31" s="135"/>
      <c r="T31" s="135"/>
      <c r="U31" s="134"/>
      <c r="V31" s="143"/>
      <c r="W31" s="134"/>
      <c r="X31" s="134"/>
      <c r="Y31" s="134"/>
      <c r="Z31" s="134"/>
      <c r="AA31" s="134"/>
      <c r="AB31" s="134"/>
      <c r="AC31" s="134"/>
      <c r="AD31" s="134"/>
      <c r="AE31" s="134"/>
      <c r="AF31" s="134"/>
      <c r="AG31" s="134"/>
      <c r="AH31" s="134"/>
      <c r="AI31" s="134"/>
      <c r="AJ31" s="134"/>
      <c r="AK31" s="134"/>
      <c r="AL31" s="134"/>
      <c r="AM31" s="134"/>
      <c r="AN31" s="134"/>
      <c r="AO31" s="134"/>
      <c r="AP31" s="134"/>
      <c r="AQ31" s="134"/>
      <c r="AR31" s="134"/>
    </row>
    <row r="32" spans="1:44" x14ac:dyDescent="0.25">
      <c r="C32" s="131"/>
      <c r="D32" s="131"/>
      <c r="E32" s="131"/>
      <c r="F32" s="131"/>
      <c r="G32" s="174"/>
      <c r="H32" s="174"/>
      <c r="I32" s="174"/>
      <c r="J32" s="174"/>
      <c r="K32" s="174"/>
      <c r="L32" s="174"/>
      <c r="M32" s="131"/>
      <c r="N32" s="131"/>
      <c r="O32" s="131"/>
      <c r="R32" s="134"/>
      <c r="S32" s="135"/>
      <c r="T32" s="135"/>
      <c r="U32" s="134"/>
      <c r="V32" s="143"/>
      <c r="W32" s="134"/>
      <c r="X32" s="134"/>
      <c r="Y32" s="134"/>
      <c r="Z32" s="134"/>
      <c r="AA32" s="134"/>
      <c r="AB32" s="134"/>
      <c r="AC32" s="134"/>
      <c r="AD32" s="134"/>
      <c r="AE32" s="134"/>
      <c r="AF32" s="134"/>
      <c r="AG32" s="134"/>
      <c r="AH32" s="134"/>
      <c r="AI32" s="134"/>
      <c r="AJ32" s="134"/>
      <c r="AK32" s="134"/>
      <c r="AL32" s="134"/>
      <c r="AM32" s="134"/>
      <c r="AN32" s="134"/>
      <c r="AO32" s="134"/>
      <c r="AP32" s="134"/>
      <c r="AQ32" s="134"/>
      <c r="AR32" s="134"/>
    </row>
    <row r="33" spans="3:44" x14ac:dyDescent="0.25">
      <c r="C33" s="134"/>
      <c r="D33" s="134"/>
      <c r="E33" s="132"/>
      <c r="F33" s="132"/>
      <c r="G33" s="174"/>
      <c r="H33" s="174"/>
      <c r="I33" s="174"/>
      <c r="J33" s="174"/>
      <c r="K33" s="174"/>
      <c r="L33" s="174"/>
      <c r="M33" s="132"/>
      <c r="N33" s="134"/>
      <c r="O33" s="134"/>
      <c r="R33" s="134"/>
      <c r="S33" s="135"/>
      <c r="T33" s="135"/>
      <c r="U33" s="134"/>
      <c r="V33" s="143"/>
      <c r="W33" s="134"/>
      <c r="X33" s="134"/>
      <c r="Y33" s="134"/>
      <c r="Z33" s="134"/>
      <c r="AA33" s="134"/>
      <c r="AB33" s="134"/>
      <c r="AC33" s="134"/>
      <c r="AD33" s="134"/>
      <c r="AE33" s="134"/>
      <c r="AF33" s="134"/>
      <c r="AG33" s="134"/>
      <c r="AH33" s="134"/>
      <c r="AI33" s="134"/>
      <c r="AJ33" s="134"/>
      <c r="AK33" s="134"/>
      <c r="AL33" s="134"/>
      <c r="AM33" s="134"/>
      <c r="AN33" s="134"/>
      <c r="AO33" s="134"/>
      <c r="AP33" s="134"/>
      <c r="AQ33" s="134"/>
      <c r="AR33" s="134"/>
    </row>
    <row r="34" spans="3:44" x14ac:dyDescent="0.25">
      <c r="C34" s="134"/>
      <c r="D34" s="134"/>
      <c r="E34" s="132"/>
      <c r="F34" s="132"/>
      <c r="G34" s="174"/>
      <c r="H34" s="174"/>
      <c r="I34" s="174"/>
      <c r="J34" s="174"/>
      <c r="K34" s="174"/>
      <c r="L34" s="174"/>
      <c r="M34" s="132"/>
      <c r="N34" s="134"/>
      <c r="O34" s="134"/>
      <c r="R34" s="134"/>
      <c r="S34" s="258"/>
      <c r="T34" s="258"/>
      <c r="U34" s="134"/>
      <c r="V34" s="143"/>
      <c r="W34" s="134"/>
      <c r="X34" s="134"/>
      <c r="Y34" s="134"/>
      <c r="Z34" s="134"/>
      <c r="AA34" s="134"/>
      <c r="AB34" s="134"/>
      <c r="AC34" s="134"/>
      <c r="AD34" s="134"/>
      <c r="AE34" s="134"/>
      <c r="AF34" s="134"/>
      <c r="AG34" s="134"/>
      <c r="AH34" s="134"/>
      <c r="AI34" s="134"/>
      <c r="AJ34" s="134"/>
      <c r="AK34" s="134"/>
      <c r="AL34" s="134"/>
      <c r="AM34" s="134"/>
      <c r="AN34" s="134"/>
      <c r="AO34" s="134"/>
      <c r="AP34" s="134"/>
      <c r="AQ34" s="134"/>
      <c r="AR34" s="134"/>
    </row>
    <row r="35" spans="3:44" x14ac:dyDescent="0.25">
      <c r="C35" s="134"/>
      <c r="D35" s="134"/>
      <c r="E35" s="132"/>
      <c r="F35" s="132"/>
      <c r="G35" s="174"/>
      <c r="H35" s="174"/>
      <c r="I35" s="174"/>
      <c r="J35" s="174"/>
      <c r="K35" s="174"/>
      <c r="L35" s="174"/>
      <c r="M35" s="132"/>
      <c r="N35" s="134"/>
      <c r="O35" s="134"/>
      <c r="R35" s="134"/>
      <c r="S35" s="258"/>
      <c r="T35" s="258"/>
      <c r="U35" s="134"/>
      <c r="V35" s="143"/>
      <c r="W35" s="134"/>
      <c r="X35" s="134"/>
      <c r="Y35" s="134"/>
      <c r="Z35" s="134"/>
      <c r="AA35" s="134"/>
      <c r="AB35" s="134"/>
      <c r="AC35" s="134"/>
      <c r="AD35" s="134"/>
      <c r="AE35" s="134"/>
      <c r="AF35" s="134"/>
      <c r="AG35" s="134"/>
      <c r="AH35" s="134"/>
      <c r="AI35" s="134"/>
      <c r="AJ35" s="134"/>
      <c r="AK35" s="134"/>
      <c r="AL35" s="134"/>
      <c r="AM35" s="134"/>
      <c r="AN35" s="134"/>
      <c r="AO35" s="134"/>
      <c r="AP35" s="134"/>
      <c r="AQ35" s="134"/>
      <c r="AR35" s="134"/>
    </row>
    <row r="36" spans="3:44" x14ac:dyDescent="0.25">
      <c r="D36" s="134"/>
      <c r="E36" s="134"/>
      <c r="F36" s="134"/>
      <c r="G36" s="174"/>
      <c r="H36" s="174"/>
      <c r="I36" s="174"/>
      <c r="J36" s="174"/>
      <c r="K36" s="174"/>
      <c r="L36" s="174"/>
      <c r="M36" s="134"/>
      <c r="N36" s="134"/>
      <c r="O36" s="134"/>
      <c r="R36" s="134"/>
      <c r="S36" s="258"/>
      <c r="T36" s="258"/>
      <c r="U36" s="134"/>
      <c r="V36" s="143"/>
      <c r="W36" s="134"/>
      <c r="X36" s="134"/>
      <c r="Y36" s="134"/>
      <c r="Z36" s="134"/>
      <c r="AA36" s="134"/>
      <c r="AB36" s="134"/>
      <c r="AC36" s="134"/>
      <c r="AD36" s="134"/>
      <c r="AE36" s="134"/>
      <c r="AF36" s="134"/>
      <c r="AG36" s="134"/>
      <c r="AH36" s="134"/>
      <c r="AI36" s="134"/>
      <c r="AJ36" s="134"/>
      <c r="AK36" s="134"/>
      <c r="AL36" s="134"/>
      <c r="AM36" s="134"/>
      <c r="AN36" s="134"/>
      <c r="AO36" s="134"/>
      <c r="AP36" s="134"/>
      <c r="AQ36" s="134"/>
      <c r="AR36" s="134"/>
    </row>
    <row r="37" spans="3:44" x14ac:dyDescent="0.25">
      <c r="D37" s="134"/>
      <c r="E37" s="134"/>
      <c r="F37" s="134"/>
      <c r="G37" s="174"/>
      <c r="H37" s="174"/>
      <c r="I37" s="174"/>
      <c r="J37" s="174"/>
      <c r="K37" s="174"/>
      <c r="L37" s="174"/>
      <c r="M37" s="134"/>
      <c r="N37" s="134"/>
      <c r="O37" s="134"/>
      <c r="R37" s="134"/>
      <c r="S37" s="258"/>
      <c r="T37" s="258"/>
      <c r="U37" s="134"/>
      <c r="V37" s="143"/>
      <c r="W37" s="134"/>
      <c r="X37" s="134"/>
      <c r="Y37" s="134"/>
      <c r="Z37" s="134"/>
      <c r="AA37" s="134"/>
      <c r="AB37" s="134"/>
      <c r="AC37" s="134"/>
      <c r="AD37" s="134"/>
      <c r="AE37" s="134"/>
      <c r="AF37" s="134"/>
      <c r="AG37" s="134"/>
      <c r="AH37" s="134"/>
      <c r="AI37" s="134"/>
      <c r="AJ37" s="134"/>
      <c r="AK37" s="134"/>
      <c r="AL37" s="134"/>
      <c r="AM37" s="134"/>
      <c r="AN37" s="134"/>
      <c r="AO37" s="134"/>
      <c r="AP37" s="134"/>
      <c r="AQ37" s="134"/>
      <c r="AR37" s="134"/>
    </row>
    <row r="38" spans="3:44" x14ac:dyDescent="0.25">
      <c r="D38" s="134"/>
      <c r="E38" s="134"/>
      <c r="F38" s="134"/>
      <c r="G38" s="174"/>
      <c r="H38" s="174"/>
      <c r="I38" s="174"/>
      <c r="J38" s="174"/>
      <c r="K38" s="174"/>
      <c r="L38" s="174"/>
      <c r="M38" s="134"/>
      <c r="N38" s="134"/>
      <c r="O38" s="134"/>
      <c r="R38" s="134"/>
      <c r="S38" s="258"/>
      <c r="T38" s="258"/>
      <c r="U38" s="134"/>
      <c r="V38" s="143"/>
      <c r="W38" s="134"/>
      <c r="X38" s="134"/>
      <c r="Y38" s="134"/>
      <c r="Z38" s="134"/>
      <c r="AA38" s="134"/>
      <c r="AB38" s="134"/>
      <c r="AC38" s="134"/>
      <c r="AD38" s="134"/>
      <c r="AE38" s="134"/>
      <c r="AF38" s="134"/>
      <c r="AG38" s="134"/>
      <c r="AH38" s="134"/>
      <c r="AI38" s="134"/>
      <c r="AJ38" s="134"/>
      <c r="AK38" s="134"/>
      <c r="AL38" s="134"/>
      <c r="AM38" s="134"/>
      <c r="AN38" s="134"/>
      <c r="AO38" s="134"/>
      <c r="AP38" s="134"/>
      <c r="AQ38" s="134"/>
      <c r="AR38" s="134"/>
    </row>
    <row r="39" spans="3:44" ht="15.75" x14ac:dyDescent="0.25">
      <c r="D39" s="134"/>
      <c r="E39" s="134"/>
      <c r="F39" s="134"/>
      <c r="G39" s="174"/>
      <c r="H39" s="174"/>
      <c r="I39" s="174"/>
      <c r="J39" s="174"/>
      <c r="K39" s="174"/>
      <c r="L39" s="174"/>
      <c r="M39" s="134"/>
      <c r="N39" s="134"/>
      <c r="O39" s="134"/>
      <c r="R39" s="134"/>
      <c r="S39" s="261"/>
      <c r="T39" s="261"/>
      <c r="U39" s="261"/>
      <c r="V39" s="261"/>
      <c r="W39" s="261"/>
      <c r="X39" s="134"/>
      <c r="Y39" s="134"/>
      <c r="Z39" s="134"/>
      <c r="AA39" s="134"/>
      <c r="AB39" s="134"/>
      <c r="AC39" s="134"/>
      <c r="AD39" s="134"/>
      <c r="AE39" s="134"/>
      <c r="AF39" s="134"/>
      <c r="AG39" s="134"/>
      <c r="AH39" s="134"/>
      <c r="AI39" s="134"/>
      <c r="AJ39" s="134"/>
      <c r="AK39" s="134"/>
      <c r="AL39" s="134"/>
      <c r="AM39" s="134"/>
      <c r="AN39" s="134"/>
      <c r="AO39" s="134"/>
      <c r="AP39" s="134"/>
      <c r="AQ39" s="134"/>
      <c r="AR39" s="134"/>
    </row>
    <row r="40" spans="3:44" x14ac:dyDescent="0.25">
      <c r="D40" s="134"/>
      <c r="E40" s="134"/>
      <c r="F40" s="134"/>
      <c r="G40" s="174"/>
      <c r="H40" s="174"/>
      <c r="I40" s="174"/>
      <c r="J40" s="174"/>
      <c r="K40" s="174"/>
      <c r="L40" s="174"/>
      <c r="M40" s="134"/>
      <c r="N40" s="134"/>
      <c r="O40" s="134"/>
      <c r="R40" s="134"/>
      <c r="S40" s="258"/>
      <c r="T40" s="258"/>
      <c r="U40" s="151"/>
      <c r="V40" s="143"/>
      <c r="W40" s="143"/>
      <c r="X40" s="134"/>
      <c r="Y40" s="134"/>
      <c r="Z40" s="134"/>
      <c r="AA40" s="134"/>
      <c r="AB40" s="134"/>
      <c r="AC40" s="134"/>
      <c r="AD40" s="134"/>
      <c r="AE40" s="134"/>
      <c r="AF40" s="134"/>
      <c r="AG40" s="134"/>
      <c r="AH40" s="134"/>
      <c r="AI40" s="134"/>
      <c r="AJ40" s="134"/>
      <c r="AK40" s="134"/>
      <c r="AL40" s="134"/>
      <c r="AM40" s="134"/>
      <c r="AN40" s="134"/>
      <c r="AO40" s="134"/>
      <c r="AP40" s="134"/>
      <c r="AQ40" s="134"/>
      <c r="AR40" s="134"/>
    </row>
    <row r="41" spans="3:44" ht="27" customHeight="1" x14ac:dyDescent="0.25">
      <c r="D41" s="134"/>
      <c r="E41" s="134"/>
      <c r="F41" s="134"/>
      <c r="G41" s="134"/>
      <c r="H41" s="175"/>
      <c r="I41" s="175"/>
      <c r="J41" s="175"/>
      <c r="K41" s="175"/>
      <c r="L41" s="134"/>
      <c r="M41" s="134"/>
      <c r="N41" s="134"/>
      <c r="O41" s="134"/>
      <c r="R41" s="134"/>
      <c r="S41" s="258"/>
      <c r="T41" s="258"/>
      <c r="U41" s="258"/>
      <c r="V41" s="143"/>
      <c r="W41" s="143"/>
      <c r="X41" s="134"/>
      <c r="Y41" s="134"/>
      <c r="Z41" s="134"/>
      <c r="AA41" s="134"/>
      <c r="AB41" s="134"/>
      <c r="AC41" s="134"/>
      <c r="AD41" s="134"/>
      <c r="AE41" s="134"/>
      <c r="AF41" s="134"/>
      <c r="AG41" s="134"/>
      <c r="AH41" s="134"/>
      <c r="AI41" s="134"/>
      <c r="AJ41" s="134"/>
      <c r="AK41" s="134"/>
      <c r="AL41" s="134"/>
      <c r="AM41" s="134"/>
      <c r="AN41" s="134"/>
      <c r="AO41" s="134"/>
      <c r="AP41" s="134"/>
      <c r="AQ41" s="134"/>
      <c r="AR41" s="134"/>
    </row>
    <row r="42" spans="3:44" x14ac:dyDescent="0.25">
      <c r="D42" s="134"/>
      <c r="E42" s="134"/>
      <c r="F42" s="134"/>
      <c r="G42" s="134"/>
      <c r="H42" s="134"/>
      <c r="I42" s="134"/>
      <c r="J42" s="134"/>
      <c r="K42" s="134"/>
      <c r="L42" s="134"/>
      <c r="M42" s="134"/>
      <c r="N42" s="134"/>
      <c r="O42" s="134"/>
      <c r="R42" s="134"/>
      <c r="S42" s="258"/>
      <c r="T42" s="258"/>
      <c r="U42" s="151"/>
      <c r="V42" s="143"/>
      <c r="W42" s="143"/>
      <c r="X42" s="134"/>
      <c r="Y42" s="134"/>
      <c r="Z42" s="134"/>
      <c r="AA42" s="134"/>
      <c r="AB42" s="134"/>
      <c r="AC42" s="134"/>
      <c r="AD42" s="134"/>
      <c r="AE42" s="134"/>
      <c r="AF42" s="134"/>
      <c r="AG42" s="134"/>
      <c r="AH42" s="134"/>
      <c r="AI42" s="134"/>
      <c r="AJ42" s="134"/>
      <c r="AK42" s="134"/>
      <c r="AL42" s="134"/>
      <c r="AM42" s="134"/>
      <c r="AN42" s="134"/>
      <c r="AO42" s="134"/>
      <c r="AP42" s="134"/>
      <c r="AQ42" s="134"/>
      <c r="AR42" s="134"/>
    </row>
    <row r="43" spans="3:44" x14ac:dyDescent="0.25">
      <c r="R43" s="134"/>
      <c r="S43" s="258"/>
      <c r="T43" s="258"/>
      <c r="U43" s="151"/>
      <c r="V43" s="143"/>
      <c r="W43" s="143"/>
      <c r="X43" s="134"/>
      <c r="Y43" s="134"/>
      <c r="Z43" s="134"/>
      <c r="AA43" s="134"/>
      <c r="AB43" s="134"/>
      <c r="AC43" s="134"/>
      <c r="AD43" s="134"/>
      <c r="AE43" s="134"/>
      <c r="AF43" s="134"/>
      <c r="AG43" s="134"/>
      <c r="AH43" s="134"/>
      <c r="AI43" s="134"/>
      <c r="AJ43" s="134"/>
      <c r="AK43" s="134"/>
      <c r="AL43" s="134"/>
      <c r="AM43" s="134"/>
      <c r="AN43" s="134"/>
      <c r="AO43" s="134"/>
      <c r="AP43" s="134"/>
      <c r="AQ43" s="134"/>
      <c r="AR43" s="134"/>
    </row>
    <row r="44" spans="3:44" ht="15" customHeight="1" x14ac:dyDescent="0.25">
      <c r="R44" s="134"/>
      <c r="S44" s="258"/>
      <c r="T44" s="258"/>
      <c r="U44" s="258"/>
      <c r="V44" s="143"/>
      <c r="W44" s="143"/>
      <c r="X44" s="134"/>
      <c r="Y44" s="134"/>
      <c r="Z44" s="134"/>
      <c r="AA44" s="134"/>
      <c r="AB44" s="134"/>
      <c r="AC44" s="134"/>
      <c r="AD44" s="134"/>
      <c r="AE44" s="134"/>
      <c r="AF44" s="134"/>
      <c r="AG44" s="134"/>
      <c r="AH44" s="134"/>
      <c r="AI44" s="134"/>
      <c r="AJ44" s="134"/>
      <c r="AK44" s="134"/>
      <c r="AL44" s="134"/>
      <c r="AM44" s="134"/>
      <c r="AN44" s="134"/>
      <c r="AO44" s="134"/>
      <c r="AP44" s="134"/>
      <c r="AQ44" s="134"/>
      <c r="AR44" s="134"/>
    </row>
    <row r="45" spans="3:44" x14ac:dyDescent="0.25">
      <c r="R45" s="134"/>
      <c r="S45" s="258"/>
      <c r="T45" s="258"/>
      <c r="U45" s="258"/>
      <c r="V45" s="143"/>
      <c r="W45" s="143"/>
      <c r="X45" s="134"/>
      <c r="Y45" s="134"/>
      <c r="Z45" s="134"/>
      <c r="AA45" s="134"/>
      <c r="AB45" s="134"/>
      <c r="AC45" s="134"/>
      <c r="AD45" s="134"/>
      <c r="AE45" s="134"/>
      <c r="AF45" s="134"/>
      <c r="AG45" s="134"/>
      <c r="AH45" s="134"/>
      <c r="AI45" s="134"/>
      <c r="AJ45" s="134"/>
      <c r="AK45" s="134"/>
      <c r="AL45" s="134"/>
      <c r="AM45" s="134"/>
      <c r="AN45" s="134"/>
      <c r="AO45" s="134"/>
      <c r="AP45" s="134"/>
      <c r="AQ45" s="134"/>
      <c r="AR45" s="134"/>
    </row>
    <row r="46" spans="3:44" x14ac:dyDescent="0.25">
      <c r="R46" s="134"/>
      <c r="S46" s="258"/>
      <c r="T46" s="258"/>
      <c r="U46" s="258"/>
      <c r="V46" s="143"/>
      <c r="W46" s="143"/>
      <c r="X46" s="134"/>
      <c r="Y46" s="134"/>
      <c r="Z46" s="134"/>
      <c r="AA46" s="134"/>
      <c r="AB46" s="134"/>
      <c r="AC46" s="134"/>
      <c r="AD46" s="134"/>
      <c r="AE46" s="165"/>
      <c r="AF46" s="134"/>
      <c r="AG46" s="134"/>
      <c r="AH46" s="134"/>
      <c r="AI46" s="134"/>
      <c r="AJ46" s="134"/>
      <c r="AK46" s="134"/>
      <c r="AL46" s="134"/>
      <c r="AM46" s="134"/>
      <c r="AN46" s="134"/>
      <c r="AO46" s="134"/>
      <c r="AP46" s="134"/>
      <c r="AQ46" s="134"/>
      <c r="AR46" s="134"/>
    </row>
    <row r="47" spans="3:44" ht="26.25" customHeight="1" x14ac:dyDescent="0.25">
      <c r="R47" s="134"/>
      <c r="S47" s="258"/>
      <c r="T47" s="258"/>
      <c r="U47" s="258"/>
      <c r="V47" s="143"/>
      <c r="W47" s="143"/>
      <c r="X47" s="134"/>
      <c r="Y47" s="134"/>
      <c r="Z47" s="134"/>
      <c r="AA47" s="134"/>
      <c r="AB47" s="134"/>
      <c r="AC47" s="134"/>
      <c r="AD47" s="134"/>
      <c r="AE47" s="151"/>
      <c r="AF47" s="134"/>
      <c r="AG47" s="134"/>
      <c r="AH47" s="134"/>
      <c r="AI47" s="134"/>
      <c r="AJ47" s="134"/>
      <c r="AK47" s="134"/>
      <c r="AL47" s="134"/>
      <c r="AM47" s="134"/>
      <c r="AN47" s="134"/>
      <c r="AO47" s="134"/>
      <c r="AP47" s="134"/>
      <c r="AQ47" s="134"/>
      <c r="AR47" s="134"/>
    </row>
    <row r="48" spans="3:44" x14ac:dyDescent="0.25">
      <c r="R48" s="134"/>
      <c r="S48" s="135"/>
      <c r="T48" s="135"/>
      <c r="U48" s="135"/>
      <c r="V48" s="143"/>
      <c r="W48" s="134"/>
      <c r="X48" s="134"/>
      <c r="Y48" s="134"/>
      <c r="Z48" s="134"/>
      <c r="AA48" s="134"/>
      <c r="AB48" s="134"/>
      <c r="AC48" s="134"/>
      <c r="AD48" s="134"/>
      <c r="AE48" s="151"/>
      <c r="AF48" s="134"/>
      <c r="AG48" s="134"/>
      <c r="AH48" s="134"/>
      <c r="AI48" s="134"/>
      <c r="AJ48" s="134"/>
      <c r="AK48" s="134"/>
      <c r="AL48" s="134"/>
      <c r="AM48" s="134"/>
      <c r="AN48" s="134"/>
      <c r="AO48" s="134"/>
      <c r="AP48" s="134"/>
      <c r="AQ48" s="134"/>
      <c r="AR48" s="134"/>
    </row>
    <row r="49" spans="18:44" x14ac:dyDescent="0.25">
      <c r="R49" s="134"/>
      <c r="S49" s="135"/>
      <c r="T49" s="135"/>
      <c r="U49" s="135"/>
      <c r="V49" s="143"/>
      <c r="W49" s="134"/>
      <c r="X49" s="134"/>
      <c r="Y49" s="134"/>
      <c r="Z49" s="134"/>
      <c r="AA49" s="134"/>
      <c r="AB49" s="134"/>
      <c r="AC49" s="134"/>
      <c r="AD49" s="134"/>
      <c r="AE49" s="151"/>
      <c r="AF49" s="134"/>
      <c r="AG49" s="134"/>
      <c r="AH49" s="134"/>
      <c r="AI49" s="134"/>
      <c r="AJ49" s="134"/>
      <c r="AK49" s="134"/>
      <c r="AL49" s="134"/>
      <c r="AM49" s="134"/>
      <c r="AN49" s="134"/>
      <c r="AO49" s="134"/>
      <c r="AP49" s="134"/>
      <c r="AQ49" s="134"/>
      <c r="AR49" s="134"/>
    </row>
    <row r="50" spans="18:44" x14ac:dyDescent="0.25">
      <c r="R50" s="134"/>
      <c r="S50" s="135"/>
      <c r="T50" s="135"/>
      <c r="U50" s="135"/>
      <c r="V50" s="143"/>
      <c r="W50" s="134"/>
      <c r="X50" s="134"/>
      <c r="Y50" s="134"/>
      <c r="Z50" s="134"/>
      <c r="AA50" s="134"/>
      <c r="AB50" s="134"/>
      <c r="AC50" s="134"/>
      <c r="AD50" s="134"/>
      <c r="AE50" s="151"/>
      <c r="AF50" s="134"/>
      <c r="AG50" s="134"/>
      <c r="AH50" s="134"/>
      <c r="AI50" s="134"/>
      <c r="AJ50" s="134"/>
      <c r="AK50" s="134"/>
      <c r="AL50" s="134"/>
      <c r="AM50" s="134"/>
      <c r="AN50" s="134"/>
      <c r="AO50" s="134"/>
      <c r="AP50" s="134"/>
      <c r="AQ50" s="134"/>
      <c r="AR50" s="134"/>
    </row>
    <row r="51" spans="18:44" x14ac:dyDescent="0.25">
      <c r="R51" s="134"/>
      <c r="S51" s="258"/>
      <c r="T51" s="258"/>
      <c r="U51" s="135"/>
      <c r="V51" s="259"/>
      <c r="W51" s="259"/>
      <c r="X51" s="134"/>
      <c r="Y51" s="134"/>
      <c r="Z51" s="134"/>
      <c r="AA51" s="134"/>
      <c r="AB51" s="134"/>
      <c r="AC51" s="134"/>
      <c r="AD51" s="134"/>
      <c r="AE51" s="134"/>
      <c r="AF51" s="134"/>
      <c r="AG51" s="134"/>
      <c r="AH51" s="134"/>
      <c r="AI51" s="134"/>
      <c r="AJ51" s="134"/>
      <c r="AK51" s="134"/>
      <c r="AL51" s="134"/>
      <c r="AM51" s="134"/>
      <c r="AN51" s="134"/>
      <c r="AO51" s="134"/>
      <c r="AP51" s="134"/>
      <c r="AQ51" s="134"/>
      <c r="AR51" s="134"/>
    </row>
    <row r="52" spans="18:44" x14ac:dyDescent="0.25">
      <c r="R52" s="134"/>
      <c r="S52" s="258"/>
      <c r="T52" s="258"/>
      <c r="U52" s="258"/>
      <c r="V52" s="143"/>
      <c r="W52" s="134"/>
      <c r="X52" s="134"/>
      <c r="Y52" s="134"/>
      <c r="Z52" s="134"/>
      <c r="AA52" s="134"/>
      <c r="AB52" s="134"/>
      <c r="AC52" s="134"/>
      <c r="AD52" s="134"/>
      <c r="AE52" s="134"/>
      <c r="AF52" s="134"/>
      <c r="AG52" s="134"/>
      <c r="AH52" s="134"/>
      <c r="AI52" s="134"/>
      <c r="AJ52" s="134"/>
      <c r="AK52" s="134"/>
      <c r="AL52" s="134"/>
      <c r="AM52" s="134"/>
      <c r="AN52" s="134"/>
      <c r="AO52" s="134"/>
      <c r="AP52" s="134"/>
      <c r="AQ52" s="134"/>
      <c r="AR52" s="134"/>
    </row>
    <row r="53" spans="18:44" x14ac:dyDescent="0.25">
      <c r="R53" s="134"/>
      <c r="S53" s="258"/>
      <c r="T53" s="258"/>
      <c r="U53" s="135"/>
      <c r="V53" s="143"/>
      <c r="W53" s="134"/>
      <c r="X53" s="134"/>
      <c r="Y53" s="134"/>
      <c r="Z53" s="134"/>
      <c r="AA53" s="134"/>
      <c r="AB53" s="134"/>
      <c r="AC53" s="134"/>
      <c r="AD53" s="134"/>
      <c r="AE53" s="134"/>
      <c r="AF53" s="134"/>
      <c r="AG53" s="134"/>
      <c r="AH53" s="134"/>
      <c r="AI53" s="134"/>
      <c r="AJ53" s="134"/>
      <c r="AK53" s="134"/>
      <c r="AL53" s="134"/>
      <c r="AM53" s="134"/>
      <c r="AN53" s="134"/>
      <c r="AO53" s="134"/>
      <c r="AP53" s="134"/>
      <c r="AQ53" s="134"/>
      <c r="AR53" s="134"/>
    </row>
    <row r="54" spans="18:44" x14ac:dyDescent="0.25">
      <c r="R54" s="134"/>
      <c r="S54" s="135"/>
      <c r="T54" s="135"/>
      <c r="U54" s="135"/>
      <c r="V54" s="143"/>
      <c r="W54" s="134"/>
      <c r="X54" s="134"/>
      <c r="Y54" s="134"/>
      <c r="Z54" s="134"/>
      <c r="AA54" s="134"/>
      <c r="AB54" s="134"/>
      <c r="AC54" s="134"/>
      <c r="AD54" s="134"/>
      <c r="AE54" s="134"/>
      <c r="AF54" s="134"/>
      <c r="AG54" s="134"/>
      <c r="AH54" s="134"/>
      <c r="AI54" s="134"/>
      <c r="AJ54" s="134"/>
      <c r="AK54" s="134"/>
      <c r="AL54" s="134"/>
      <c r="AM54" s="134"/>
      <c r="AN54" s="134"/>
      <c r="AO54" s="134"/>
      <c r="AP54" s="134"/>
      <c r="AQ54" s="134"/>
      <c r="AR54" s="134"/>
    </row>
    <row r="55" spans="18:44" x14ac:dyDescent="0.25">
      <c r="R55" s="134"/>
      <c r="S55" s="258"/>
      <c r="T55" s="258"/>
      <c r="U55" s="135"/>
      <c r="V55" s="259"/>
      <c r="W55" s="259"/>
      <c r="X55" s="134"/>
      <c r="Y55" s="134"/>
      <c r="Z55" s="134"/>
      <c r="AA55" s="134"/>
      <c r="AB55" s="134"/>
      <c r="AC55" s="134"/>
      <c r="AD55" s="134"/>
      <c r="AE55" s="134"/>
      <c r="AF55" s="134"/>
      <c r="AG55" s="134"/>
      <c r="AH55" s="134"/>
      <c r="AI55" s="134"/>
      <c r="AJ55" s="134"/>
      <c r="AK55" s="134"/>
      <c r="AL55" s="134"/>
      <c r="AM55" s="134"/>
      <c r="AN55" s="134"/>
      <c r="AO55" s="134"/>
      <c r="AP55" s="134"/>
      <c r="AQ55" s="134"/>
      <c r="AR55" s="134"/>
    </row>
    <row r="56" spans="18:44" x14ac:dyDescent="0.25">
      <c r="R56" s="134"/>
      <c r="S56" s="258"/>
      <c r="T56" s="258"/>
      <c r="U56" s="135"/>
      <c r="V56" s="259"/>
      <c r="W56" s="259"/>
      <c r="X56" s="134"/>
      <c r="Y56" s="134"/>
      <c r="Z56" s="134"/>
      <c r="AA56" s="134"/>
      <c r="AB56" s="134"/>
      <c r="AC56" s="134"/>
      <c r="AD56" s="134"/>
      <c r="AE56" s="134"/>
      <c r="AF56" s="134"/>
      <c r="AG56" s="134"/>
      <c r="AH56" s="134"/>
      <c r="AI56" s="134"/>
      <c r="AJ56" s="134"/>
      <c r="AK56" s="134"/>
      <c r="AL56" s="134"/>
      <c r="AM56" s="134"/>
      <c r="AN56" s="134"/>
      <c r="AO56" s="134"/>
      <c r="AP56" s="134"/>
      <c r="AQ56" s="134"/>
      <c r="AR56" s="134"/>
    </row>
    <row r="57" spans="18:44" x14ac:dyDescent="0.25">
      <c r="R57" s="134"/>
      <c r="S57" s="134"/>
      <c r="T57" s="134"/>
      <c r="U57" s="134"/>
      <c r="V57" s="134"/>
      <c r="W57" s="134"/>
      <c r="X57" s="134"/>
      <c r="Y57" s="134"/>
      <c r="Z57" s="134"/>
      <c r="AA57" s="134"/>
      <c r="AB57" s="134"/>
      <c r="AC57" s="134"/>
      <c r="AD57" s="134"/>
      <c r="AE57" s="134"/>
      <c r="AF57" s="134"/>
      <c r="AG57" s="134"/>
      <c r="AH57" s="134"/>
      <c r="AI57" s="134"/>
      <c r="AJ57" s="134"/>
      <c r="AK57" s="134"/>
      <c r="AL57" s="134"/>
      <c r="AM57" s="134"/>
      <c r="AN57" s="134"/>
      <c r="AO57" s="134"/>
      <c r="AP57" s="134"/>
      <c r="AQ57" s="134"/>
      <c r="AR57" s="134"/>
    </row>
    <row r="58" spans="18:44" x14ac:dyDescent="0.25">
      <c r="R58" s="134"/>
      <c r="S58" s="134"/>
      <c r="T58" s="134"/>
      <c r="U58" s="134"/>
      <c r="V58" s="134"/>
      <c r="W58" s="134"/>
      <c r="X58" s="134"/>
      <c r="Y58" s="134"/>
      <c r="Z58" s="134"/>
      <c r="AA58" s="134"/>
      <c r="AB58" s="134"/>
      <c r="AC58" s="134"/>
      <c r="AD58" s="134"/>
      <c r="AE58" s="134"/>
      <c r="AF58" s="134"/>
      <c r="AG58" s="134"/>
      <c r="AH58" s="134"/>
      <c r="AI58" s="134"/>
      <c r="AJ58" s="134"/>
      <c r="AK58" s="134"/>
      <c r="AL58" s="134"/>
      <c r="AM58" s="134"/>
      <c r="AN58" s="134"/>
      <c r="AO58" s="134"/>
      <c r="AP58" s="134"/>
      <c r="AQ58" s="134"/>
      <c r="AR58" s="134"/>
    </row>
    <row r="59" spans="18:44" x14ac:dyDescent="0.25">
      <c r="R59" s="134"/>
      <c r="S59" s="134"/>
      <c r="T59" s="134"/>
      <c r="U59" s="134"/>
      <c r="V59" s="134"/>
      <c r="W59" s="134"/>
      <c r="X59" s="134"/>
      <c r="Y59" s="134"/>
      <c r="Z59" s="134"/>
      <c r="AA59" s="134"/>
      <c r="AB59" s="134"/>
      <c r="AC59" s="134"/>
      <c r="AD59" s="134"/>
      <c r="AE59" s="134"/>
      <c r="AF59" s="134"/>
      <c r="AG59" s="134"/>
      <c r="AH59" s="134"/>
      <c r="AI59" s="134"/>
      <c r="AJ59" s="134"/>
      <c r="AK59" s="134"/>
      <c r="AL59" s="134"/>
      <c r="AM59" s="134"/>
      <c r="AN59" s="134"/>
      <c r="AO59" s="134"/>
      <c r="AP59" s="134"/>
      <c r="AQ59" s="134"/>
      <c r="AR59" s="134"/>
    </row>
    <row r="60" spans="18:44" x14ac:dyDescent="0.25">
      <c r="R60" s="134"/>
      <c r="S60" s="134"/>
      <c r="T60" s="134"/>
      <c r="U60" s="134"/>
      <c r="V60" s="134"/>
      <c r="W60" s="134"/>
      <c r="X60" s="134"/>
      <c r="Y60" s="134"/>
      <c r="Z60" s="134"/>
      <c r="AA60" s="134"/>
      <c r="AB60" s="134"/>
      <c r="AC60" s="134"/>
      <c r="AD60" s="134"/>
      <c r="AE60" s="134"/>
      <c r="AF60" s="134"/>
      <c r="AG60" s="134"/>
      <c r="AH60" s="134"/>
      <c r="AI60" s="134"/>
      <c r="AJ60" s="134"/>
      <c r="AK60" s="134"/>
      <c r="AL60" s="134"/>
      <c r="AM60" s="134"/>
      <c r="AN60" s="134"/>
      <c r="AO60" s="134"/>
      <c r="AP60" s="134"/>
      <c r="AQ60" s="134"/>
      <c r="AR60" s="134"/>
    </row>
    <row r="61" spans="18:44" x14ac:dyDescent="0.25">
      <c r="R61" s="134"/>
      <c r="S61" s="134"/>
      <c r="T61" s="134"/>
      <c r="U61" s="134"/>
      <c r="V61" s="134"/>
      <c r="W61" s="134"/>
      <c r="X61" s="134"/>
      <c r="Y61" s="134"/>
      <c r="Z61" s="134"/>
      <c r="AA61" s="134"/>
      <c r="AB61" s="134"/>
      <c r="AC61" s="134"/>
      <c r="AD61" s="134"/>
      <c r="AE61" s="134"/>
      <c r="AF61" s="134"/>
      <c r="AG61" s="134"/>
      <c r="AH61" s="134"/>
      <c r="AI61" s="134"/>
      <c r="AJ61" s="134"/>
      <c r="AK61" s="134"/>
      <c r="AL61" s="134"/>
      <c r="AM61" s="134"/>
      <c r="AN61" s="134"/>
      <c r="AO61" s="134"/>
      <c r="AP61" s="134"/>
      <c r="AQ61" s="134"/>
      <c r="AR61" s="134"/>
    </row>
    <row r="62" spans="18:44" x14ac:dyDescent="0.25">
      <c r="R62" s="134"/>
      <c r="S62" s="134"/>
      <c r="T62" s="134"/>
      <c r="U62" s="134"/>
      <c r="V62" s="134"/>
      <c r="W62" s="134"/>
      <c r="X62" s="134"/>
      <c r="Y62" s="134"/>
      <c r="Z62" s="134"/>
      <c r="AA62" s="134"/>
      <c r="AB62" s="134"/>
      <c r="AC62" s="134"/>
      <c r="AD62" s="134"/>
      <c r="AE62" s="134"/>
      <c r="AF62" s="134"/>
      <c r="AG62" s="134"/>
      <c r="AH62" s="134"/>
      <c r="AI62" s="134"/>
      <c r="AJ62" s="134"/>
      <c r="AK62" s="134"/>
      <c r="AL62" s="134"/>
      <c r="AM62" s="134"/>
      <c r="AN62" s="134"/>
      <c r="AO62" s="134"/>
      <c r="AP62" s="134"/>
      <c r="AQ62" s="134"/>
      <c r="AR62" s="134"/>
    </row>
    <row r="63" spans="18:44" x14ac:dyDescent="0.25">
      <c r="R63" s="134"/>
      <c r="S63" s="134"/>
      <c r="T63" s="134"/>
      <c r="U63" s="134"/>
      <c r="V63" s="134"/>
      <c r="W63" s="134"/>
      <c r="X63" s="134"/>
      <c r="Y63" s="134"/>
      <c r="Z63" s="134"/>
      <c r="AA63" s="134"/>
      <c r="AB63" s="134"/>
      <c r="AC63" s="134"/>
      <c r="AD63" s="134"/>
      <c r="AE63" s="134"/>
      <c r="AF63" s="134"/>
      <c r="AG63" s="134"/>
      <c r="AH63" s="134"/>
      <c r="AI63" s="134"/>
      <c r="AJ63" s="134"/>
      <c r="AK63" s="134"/>
      <c r="AL63" s="134"/>
      <c r="AM63" s="134"/>
      <c r="AN63" s="134"/>
      <c r="AO63" s="134"/>
      <c r="AP63" s="134"/>
      <c r="AQ63" s="134"/>
      <c r="AR63" s="134"/>
    </row>
    <row r="64" spans="18:44" x14ac:dyDescent="0.25">
      <c r="R64" s="134"/>
      <c r="S64" s="134"/>
      <c r="T64" s="134"/>
      <c r="U64" s="134"/>
      <c r="V64" s="134"/>
      <c r="W64" s="134"/>
      <c r="X64" s="134"/>
      <c r="Y64" s="134"/>
      <c r="Z64" s="134"/>
      <c r="AA64" s="134"/>
      <c r="AB64" s="134"/>
      <c r="AC64" s="134"/>
      <c r="AD64" s="134"/>
      <c r="AE64" s="134"/>
      <c r="AF64" s="134"/>
      <c r="AG64" s="134"/>
      <c r="AH64" s="134"/>
      <c r="AI64" s="134"/>
      <c r="AJ64" s="134"/>
      <c r="AK64" s="134"/>
      <c r="AL64" s="134"/>
      <c r="AM64" s="134"/>
      <c r="AN64" s="134"/>
      <c r="AO64" s="134"/>
      <c r="AP64" s="134"/>
      <c r="AQ64" s="134"/>
      <c r="AR64" s="134"/>
    </row>
    <row r="65" spans="6:44" x14ac:dyDescent="0.25">
      <c r="R65" s="134"/>
      <c r="S65" s="134"/>
      <c r="T65" s="134"/>
      <c r="U65" s="134"/>
      <c r="V65" s="134"/>
      <c r="W65" s="134"/>
      <c r="X65" s="134"/>
      <c r="Y65" s="134"/>
      <c r="Z65" s="134"/>
      <c r="AA65" s="134"/>
      <c r="AB65" s="134"/>
      <c r="AC65" s="134"/>
      <c r="AD65" s="134"/>
      <c r="AE65" s="134"/>
      <c r="AF65" s="134"/>
      <c r="AG65" s="134"/>
      <c r="AH65" s="134"/>
      <c r="AI65" s="134"/>
      <c r="AJ65" s="134"/>
      <c r="AK65" s="134"/>
      <c r="AL65" s="134"/>
      <c r="AM65" s="134"/>
      <c r="AN65" s="134"/>
      <c r="AO65" s="134"/>
      <c r="AP65" s="134"/>
      <c r="AQ65" s="134"/>
      <c r="AR65" s="134"/>
    </row>
    <row r="68" spans="6:44" x14ac:dyDescent="0.25">
      <c r="F68" s="176"/>
      <c r="G68" s="176"/>
      <c r="H68" s="176"/>
      <c r="I68" s="176"/>
      <c r="J68" s="176"/>
      <c r="K68" s="176"/>
      <c r="L68" s="176"/>
      <c r="M68" s="176"/>
    </row>
    <row r="69" spans="6:44" x14ac:dyDescent="0.25">
      <c r="F69" s="176"/>
      <c r="G69" s="176"/>
      <c r="H69" s="176"/>
      <c r="I69" s="176"/>
      <c r="J69" s="176"/>
      <c r="K69" s="176"/>
      <c r="L69" s="176"/>
      <c r="M69" s="176"/>
    </row>
    <row r="70" spans="6:44" x14ac:dyDescent="0.25">
      <c r="F70" s="176"/>
      <c r="G70" s="176"/>
      <c r="H70" s="176"/>
      <c r="I70" s="176"/>
      <c r="J70" s="176"/>
      <c r="K70" s="176"/>
      <c r="L70" s="176"/>
      <c r="M70" s="176"/>
    </row>
    <row r="71" spans="6:44" x14ac:dyDescent="0.25">
      <c r="F71" s="176"/>
      <c r="G71" s="176"/>
      <c r="H71" s="176"/>
      <c r="I71" s="176"/>
      <c r="J71" s="176"/>
      <c r="K71" s="176"/>
      <c r="L71" s="176"/>
      <c r="M71" s="176"/>
    </row>
    <row r="72" spans="6:44" x14ac:dyDescent="0.25">
      <c r="F72" s="176"/>
      <c r="G72" s="176"/>
      <c r="H72" s="176"/>
      <c r="I72" s="176"/>
      <c r="J72" s="176"/>
      <c r="K72" s="176"/>
      <c r="L72" s="176"/>
      <c r="M72" s="176"/>
    </row>
    <row r="73" spans="6:44" ht="15" customHeight="1" x14ac:dyDescent="0.25">
      <c r="F73" s="176"/>
      <c r="G73" s="176"/>
      <c r="H73" s="176"/>
      <c r="I73" s="176"/>
      <c r="J73" s="176"/>
      <c r="K73" s="176"/>
      <c r="L73" s="176"/>
      <c r="M73" s="176"/>
    </row>
    <row r="74" spans="6:44" ht="15" customHeight="1" x14ac:dyDescent="0.25">
      <c r="F74" s="176"/>
      <c r="G74" s="176"/>
      <c r="H74" s="176"/>
      <c r="I74" s="176"/>
      <c r="J74" s="176"/>
      <c r="K74" s="176"/>
      <c r="L74" s="176"/>
      <c r="M74" s="176"/>
    </row>
    <row r="75" spans="6:44" x14ac:dyDescent="0.25">
      <c r="F75" s="176"/>
      <c r="G75" s="176"/>
      <c r="H75" s="176"/>
      <c r="I75" s="176"/>
      <c r="J75" s="176"/>
      <c r="K75" s="176"/>
      <c r="L75" s="176"/>
      <c r="M75" s="176"/>
    </row>
    <row r="76" spans="6:44" x14ac:dyDescent="0.25">
      <c r="F76" s="176"/>
      <c r="G76" s="176"/>
      <c r="H76" s="176"/>
      <c r="I76" s="176"/>
      <c r="J76" s="176"/>
      <c r="K76" s="176"/>
      <c r="L76" s="176"/>
      <c r="M76" s="176"/>
    </row>
    <row r="77" spans="6:44" x14ac:dyDescent="0.25">
      <c r="F77" s="176"/>
      <c r="G77" s="176"/>
      <c r="H77" s="176"/>
      <c r="I77" s="176"/>
      <c r="J77" s="176"/>
      <c r="K77" s="176"/>
      <c r="L77" s="176"/>
      <c r="M77" s="176"/>
    </row>
  </sheetData>
  <mergeCells count="39">
    <mergeCell ref="S24:T24"/>
    <mergeCell ref="S25:T25"/>
    <mergeCell ref="J26:N26"/>
    <mergeCell ref="K17:N18"/>
    <mergeCell ref="F1:R5"/>
    <mergeCell ref="I25:O25"/>
    <mergeCell ref="H24:P24"/>
    <mergeCell ref="F19:H20"/>
    <mergeCell ref="F21:H22"/>
    <mergeCell ref="F23:H23"/>
    <mergeCell ref="P19:R20"/>
    <mergeCell ref="P21:R22"/>
    <mergeCell ref="P23:R23"/>
    <mergeCell ref="S39:W39"/>
    <mergeCell ref="S40:T40"/>
    <mergeCell ref="S26:W26"/>
    <mergeCell ref="AC28:AF28"/>
    <mergeCell ref="AC29:AE29"/>
    <mergeCell ref="S34:T34"/>
    <mergeCell ref="S35:T35"/>
    <mergeCell ref="S36:T36"/>
    <mergeCell ref="S37:T37"/>
    <mergeCell ref="S38:T38"/>
    <mergeCell ref="S55:T55"/>
    <mergeCell ref="V55:W55"/>
    <mergeCell ref="S56:T56"/>
    <mergeCell ref="V56:W56"/>
    <mergeCell ref="J14:O15"/>
    <mergeCell ref="S46:U46"/>
    <mergeCell ref="S47:U47"/>
    <mergeCell ref="S51:T51"/>
    <mergeCell ref="V51:W51"/>
    <mergeCell ref="S52:U52"/>
    <mergeCell ref="S53:T53"/>
    <mergeCell ref="S41:U41"/>
    <mergeCell ref="S42:T42"/>
    <mergeCell ref="S43:T43"/>
    <mergeCell ref="S44:U44"/>
    <mergeCell ref="S45:U45"/>
  </mergeCells>
  <pageMargins left="0.7" right="0.7" top="0.75" bottom="0.75" header="0.3" footer="0.3"/>
  <pageSetup orientation="portrait" horizontalDpi="300" verticalDpi="0" r:id="rId1"/>
  <drawing r:id="rId2"/>
  <tableParts count="1">
    <tablePart r:id="rId3"/>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A51861-53A8-4E9F-A69A-66CFE9A7EDFA}">
  <sheetPr codeName="Sheet3"/>
  <dimension ref="A1:V29"/>
  <sheetViews>
    <sheetView zoomScale="85" zoomScaleNormal="85" workbookViewId="0"/>
  </sheetViews>
  <sheetFormatPr defaultRowHeight="15" x14ac:dyDescent="0.25"/>
  <cols>
    <col min="1" max="1" width="10.5703125" style="9" bestFit="1" customWidth="1"/>
    <col min="2" max="2" width="26.5703125" style="9" bestFit="1" customWidth="1"/>
    <col min="3" max="3" width="20.28515625" style="9" bestFit="1" customWidth="1"/>
    <col min="4" max="4" width="21" style="9" bestFit="1" customWidth="1"/>
    <col min="5" max="7" width="20.5703125" style="9" bestFit="1" customWidth="1"/>
    <col min="8" max="8" width="34.85546875" style="9" bestFit="1" customWidth="1"/>
    <col min="9" max="9" width="35.5703125" style="9" bestFit="1" customWidth="1"/>
    <col min="10" max="12" width="35.140625" style="9" bestFit="1" customWidth="1"/>
    <col min="13" max="13" width="20.42578125" style="9" customWidth="1"/>
    <col min="14" max="14" width="21.140625" style="9" bestFit="1" customWidth="1"/>
    <col min="15" max="17" width="20.7109375" style="9" bestFit="1" customWidth="1"/>
    <col min="18" max="18" width="20.42578125" style="9" bestFit="1" customWidth="1"/>
    <col min="19" max="19" width="21.140625" style="9" bestFit="1" customWidth="1"/>
    <col min="20" max="22" width="20.7109375" style="9" bestFit="1" customWidth="1"/>
    <col min="23" max="16384" width="9.140625" style="9"/>
  </cols>
  <sheetData>
    <row r="1" spans="1:22" x14ac:dyDescent="0.25">
      <c r="A1" s="233" t="s">
        <v>0</v>
      </c>
      <c r="B1" s="233" t="s">
        <v>20</v>
      </c>
      <c r="C1" s="234" t="s">
        <v>379</v>
      </c>
      <c r="D1" s="229" t="s">
        <v>386</v>
      </c>
      <c r="E1" s="229" t="s">
        <v>393</v>
      </c>
      <c r="F1" s="229" t="s">
        <v>409</v>
      </c>
      <c r="G1" s="229" t="s">
        <v>410</v>
      </c>
      <c r="H1" s="257" t="s">
        <v>430</v>
      </c>
      <c r="I1" s="257" t="s">
        <v>431</v>
      </c>
      <c r="J1" s="257" t="s">
        <v>432</v>
      </c>
      <c r="K1" s="257" t="s">
        <v>433</v>
      </c>
      <c r="L1" s="257" t="s">
        <v>434</v>
      </c>
      <c r="M1" s="230" t="s">
        <v>411</v>
      </c>
      <c r="N1" s="230" t="s">
        <v>412</v>
      </c>
      <c r="O1" s="230" t="s">
        <v>413</v>
      </c>
      <c r="P1" s="230" t="s">
        <v>414</v>
      </c>
      <c r="Q1" s="230" t="s">
        <v>415</v>
      </c>
      <c r="R1" s="231" t="s">
        <v>416</v>
      </c>
      <c r="S1" s="231" t="s">
        <v>417</v>
      </c>
      <c r="T1" s="231" t="s">
        <v>418</v>
      </c>
      <c r="U1" s="231" t="s">
        <v>419</v>
      </c>
      <c r="V1" s="231" t="s">
        <v>420</v>
      </c>
    </row>
    <row r="2" spans="1:22" x14ac:dyDescent="0.25">
      <c r="A2" s="236" t="s">
        <v>57</v>
      </c>
      <c r="B2" s="235" t="s">
        <v>58</v>
      </c>
      <c r="C2" s="245">
        <f>'1st Semester'!Q17</f>
        <v>1.8125</v>
      </c>
      <c r="D2" s="245">
        <f>'2nd Semester'!T17</f>
        <v>1.5454545454545454</v>
      </c>
      <c r="E2" s="245">
        <f>'3rd Semester'!W17</f>
        <v>3.0357142857142856</v>
      </c>
      <c r="F2" s="245">
        <f>'4th Semester'!Q17</f>
        <v>1.875</v>
      </c>
      <c r="G2" s="245">
        <f>'5th Semester'!N17</f>
        <v>3.3333333333333335</v>
      </c>
      <c r="H2" s="256">
        <f>'1st Semester'!O17</f>
        <v>21.75</v>
      </c>
      <c r="I2" s="256">
        <f>'2nd Semester'!R17</f>
        <v>17</v>
      </c>
      <c r="J2" s="256">
        <f>'3rd Semester'!U17</f>
        <v>42.5</v>
      </c>
      <c r="K2" s="256">
        <f>'4th Semester'!O17</f>
        <v>18.75</v>
      </c>
      <c r="L2" s="256">
        <f>'5th Semester'!L17</f>
        <v>30</v>
      </c>
      <c r="M2" s="237">
        <f>'1st Semester'!P17</f>
        <v>12</v>
      </c>
      <c r="N2" s="237">
        <f>'2nd Semester'!S17</f>
        <v>11</v>
      </c>
      <c r="O2" s="237">
        <f>'3rd Semester'!V17</f>
        <v>14</v>
      </c>
      <c r="P2" s="237">
        <f>'4th Semester'!P17</f>
        <v>10</v>
      </c>
      <c r="Q2" s="237">
        <f>'5th Semester'!M17</f>
        <v>9</v>
      </c>
      <c r="R2" s="251">
        <f>Student_CGPA[[#This Row],[1st Semester (Total Grade + Credit)]]/Student_CGPA[[#This Row],[1st Semester Credit]]</f>
        <v>1.8125</v>
      </c>
      <c r="S2" s="251">
        <f>SUM(Student_CGPA[[#This Row],[1st Semester (Total Grade + Credit)]]+Student_CGPA[[#This Row],[2nd Semester (Total Grade + Credit)]])/(Student_CGPA[[#This Row],[1st Semester Credit]]+Student_CGPA[[#This Row],[2nd Semester Credit]])</f>
        <v>1.6847826086956521</v>
      </c>
      <c r="T2" s="251">
        <f>SUM(Student_CGPA[[#This Row],[1st Semester (Total Grade + Credit)]:[3rd Semester (Total Grade + Credit)]])/SUM(Student_CGPA[[#This Row],[1st Semester Credit]:[3rd Semester Credit]])</f>
        <v>2.1959459459459461</v>
      </c>
      <c r="U2" s="251">
        <f>SUM(Student_CGPA[[#This Row],[1st Semester (Total Grade + Credit)]:[4th Semester (Total Grade + Credit)]])/SUM(Student_CGPA[[#This Row],[1st Semester Credit]:[4th Semester Credit]])</f>
        <v>2.1276595744680851</v>
      </c>
      <c r="V2" s="251">
        <f>SUM(Student_CGPA[[#This Row],[1st Semester (Total Grade + Credit)]:[5th Semester (Total Grade + Credit)]])/SUM(Student_CGPA[[#This Row],[1st Semester Credit]:[5th Semester Credit]])</f>
        <v>2.3214285714285716</v>
      </c>
    </row>
    <row r="3" spans="1:22" x14ac:dyDescent="0.25">
      <c r="A3" s="238" t="s">
        <v>56</v>
      </c>
      <c r="B3" s="239" t="s">
        <v>59</v>
      </c>
      <c r="C3" s="247">
        <f>'1st Semester'!Q18</f>
        <v>2.875</v>
      </c>
      <c r="D3" s="247">
        <f>'2nd Semester'!T18</f>
        <v>2.4545454545454546</v>
      </c>
      <c r="E3" s="247">
        <f>'3rd Semester'!W18</f>
        <v>2.5178571428571428</v>
      </c>
      <c r="F3" s="247">
        <f>'4th Semester'!Q18</f>
        <v>1.875</v>
      </c>
      <c r="G3" s="247">
        <f>'5th Semester'!N18</f>
        <v>1.5833333333333333</v>
      </c>
      <c r="H3" s="247">
        <f>'1st Semester'!O18</f>
        <v>34.5</v>
      </c>
      <c r="I3" s="247">
        <f>'2nd Semester'!R18</f>
        <v>27</v>
      </c>
      <c r="J3" s="247">
        <f>'3rd Semester'!U18</f>
        <v>35.25</v>
      </c>
      <c r="K3" s="247">
        <f>'4th Semester'!O18</f>
        <v>18.75</v>
      </c>
      <c r="L3" s="247">
        <f>'5th Semester'!L18</f>
        <v>14.25</v>
      </c>
      <c r="M3" s="248">
        <f>'1st Semester'!P18</f>
        <v>12</v>
      </c>
      <c r="N3" s="248">
        <f>'2nd Semester'!S18</f>
        <v>11</v>
      </c>
      <c r="O3" s="248">
        <f>'3rd Semester'!V18</f>
        <v>14</v>
      </c>
      <c r="P3" s="248">
        <f>'4th Semester'!P18</f>
        <v>10</v>
      </c>
      <c r="Q3" s="248">
        <f>'5th Semester'!M18</f>
        <v>9</v>
      </c>
      <c r="R3" s="247">
        <f>Student_CGPA[[#This Row],[1st Semester (Total Grade + Credit)]]/Student_CGPA[[#This Row],[1st Semester Credit]]</f>
        <v>2.875</v>
      </c>
      <c r="S3" s="247">
        <f>SUM(Student_CGPA[[#This Row],[1st Semester (Total Grade + Credit)]]+Student_CGPA[[#This Row],[2nd Semester (Total Grade + Credit)]])/(Student_CGPA[[#This Row],[1st Semester Credit]]+Student_CGPA[[#This Row],[2nd Semester Credit]])</f>
        <v>2.6739130434782608</v>
      </c>
      <c r="T3" s="247">
        <f>SUM(Student_CGPA[[#This Row],[1st Semester (Total Grade + Credit)]:[3rd Semester (Total Grade + Credit)]])/SUM(Student_CGPA[[#This Row],[1st Semester Credit]:[3rd Semester Credit]])</f>
        <v>2.6148648648648649</v>
      </c>
      <c r="U3" s="247">
        <f>SUM(Student_CGPA[[#This Row],[1st Semester (Total Grade + Credit)]:[4th Semester (Total Grade + Credit)]])/SUM(Student_CGPA[[#This Row],[1st Semester Credit]:[4th Semester Credit]])</f>
        <v>2.4574468085106385</v>
      </c>
      <c r="V3" s="247">
        <f>SUM(Student_CGPA[[#This Row],[1st Semester (Total Grade + Credit)]:[5th Semester (Total Grade + Credit)]])/SUM(Student_CGPA[[#This Row],[1st Semester Credit]:[5th Semester Credit]])</f>
        <v>2.3169642857142856</v>
      </c>
    </row>
    <row r="4" spans="1:22" x14ac:dyDescent="0.25">
      <c r="A4" s="236" t="s">
        <v>1</v>
      </c>
      <c r="B4" s="235" t="s">
        <v>27</v>
      </c>
      <c r="C4" s="245">
        <f>'1st Semester'!Q19</f>
        <v>2.5625</v>
      </c>
      <c r="D4" s="245">
        <f>'2nd Semester'!T19</f>
        <v>2.5454545454545454</v>
      </c>
      <c r="E4" s="245">
        <f>'3rd Semester'!W19</f>
        <v>2.1785714285714284</v>
      </c>
      <c r="F4" s="245">
        <f>'4th Semester'!Q19</f>
        <v>2.375</v>
      </c>
      <c r="G4" s="245">
        <f>'5th Semester'!N19</f>
        <v>1.9166666666666667</v>
      </c>
      <c r="H4" s="256">
        <f>'1st Semester'!O19</f>
        <v>30.75</v>
      </c>
      <c r="I4" s="256">
        <f>'2nd Semester'!R19</f>
        <v>28</v>
      </c>
      <c r="J4" s="256">
        <f>'3rd Semester'!U19</f>
        <v>30.5</v>
      </c>
      <c r="K4" s="256">
        <f>'4th Semester'!O19</f>
        <v>23.75</v>
      </c>
      <c r="L4" s="256">
        <f>'5th Semester'!L19</f>
        <v>17.25</v>
      </c>
      <c r="M4" s="237">
        <f>'1st Semester'!P19</f>
        <v>12</v>
      </c>
      <c r="N4" s="237">
        <f>'2nd Semester'!S19</f>
        <v>11</v>
      </c>
      <c r="O4" s="237">
        <f>'3rd Semester'!V19</f>
        <v>14</v>
      </c>
      <c r="P4" s="237">
        <f>'4th Semester'!P19</f>
        <v>10</v>
      </c>
      <c r="Q4" s="237">
        <f>'5th Semester'!M19</f>
        <v>9</v>
      </c>
      <c r="R4" s="251">
        <f>Student_CGPA[[#This Row],[1st Semester (Total Grade + Credit)]]/Student_CGPA[[#This Row],[1st Semester Credit]]</f>
        <v>2.5625</v>
      </c>
      <c r="S4" s="251">
        <f>SUM(Student_CGPA[[#This Row],[1st Semester (Total Grade + Credit)]]+Student_CGPA[[#This Row],[2nd Semester (Total Grade + Credit)]])/(Student_CGPA[[#This Row],[1st Semester Credit]]+Student_CGPA[[#This Row],[2nd Semester Credit]])</f>
        <v>2.5543478260869565</v>
      </c>
      <c r="T4" s="251">
        <f>SUM(Student_CGPA[[#This Row],[1st Semester (Total Grade + Credit)]:[3rd Semester (Total Grade + Credit)]])/SUM(Student_CGPA[[#This Row],[1st Semester Credit]:[3rd Semester Credit]])</f>
        <v>2.4121621621621623</v>
      </c>
      <c r="U4" s="251">
        <f>SUM(Student_CGPA[[#This Row],[1st Semester (Total Grade + Credit)]:[4th Semester (Total Grade + Credit)]])/SUM(Student_CGPA[[#This Row],[1st Semester Credit]:[4th Semester Credit]])</f>
        <v>2.4042553191489362</v>
      </c>
      <c r="V4" s="251">
        <f>SUM(Student_CGPA[[#This Row],[1st Semester (Total Grade + Credit)]:[5th Semester (Total Grade + Credit)]])/SUM(Student_CGPA[[#This Row],[1st Semester Credit]:[5th Semester Credit]])</f>
        <v>2.3258928571428572</v>
      </c>
    </row>
    <row r="5" spans="1:22" x14ac:dyDescent="0.25">
      <c r="A5" s="238" t="s">
        <v>2</v>
      </c>
      <c r="B5" s="239" t="s">
        <v>28</v>
      </c>
      <c r="C5" s="247">
        <f>'1st Semester'!Q20</f>
        <v>2.75</v>
      </c>
      <c r="D5" s="247">
        <f>'2nd Semester'!T20</f>
        <v>1.7045454545454546</v>
      </c>
      <c r="E5" s="247">
        <f>'3rd Semester'!W20</f>
        <v>1.9464285714285714</v>
      </c>
      <c r="F5" s="247">
        <f>'4th Semester'!Q20</f>
        <v>2.5499999999999998</v>
      </c>
      <c r="G5" s="247">
        <f>'5th Semester'!N20</f>
        <v>1.9166666666666667</v>
      </c>
      <c r="H5" s="247">
        <f>'1st Semester'!O20</f>
        <v>33</v>
      </c>
      <c r="I5" s="247">
        <f>'2nd Semester'!R20</f>
        <v>18.75</v>
      </c>
      <c r="J5" s="247">
        <f>'3rd Semester'!U20</f>
        <v>27.25</v>
      </c>
      <c r="K5" s="247">
        <f>'4th Semester'!O20</f>
        <v>25.5</v>
      </c>
      <c r="L5" s="247">
        <f>'5th Semester'!L20</f>
        <v>17.25</v>
      </c>
      <c r="M5" s="248">
        <f>'1st Semester'!P20</f>
        <v>12</v>
      </c>
      <c r="N5" s="248">
        <f>'2nd Semester'!S20</f>
        <v>11</v>
      </c>
      <c r="O5" s="248">
        <f>'3rd Semester'!V20</f>
        <v>14</v>
      </c>
      <c r="P5" s="248">
        <f>'4th Semester'!P20</f>
        <v>10</v>
      </c>
      <c r="Q5" s="248">
        <f>'5th Semester'!M20</f>
        <v>9</v>
      </c>
      <c r="R5" s="247">
        <f>Student_CGPA[[#This Row],[1st Semester (Total Grade + Credit)]]/Student_CGPA[[#This Row],[1st Semester Credit]]</f>
        <v>2.75</v>
      </c>
      <c r="S5" s="247">
        <f>SUM(Student_CGPA[[#This Row],[1st Semester (Total Grade + Credit)]]+Student_CGPA[[#This Row],[2nd Semester (Total Grade + Credit)]])/(Student_CGPA[[#This Row],[1st Semester Credit]]+Student_CGPA[[#This Row],[2nd Semester Credit]])</f>
        <v>2.25</v>
      </c>
      <c r="T5" s="247">
        <f>SUM(Student_CGPA[[#This Row],[1st Semester (Total Grade + Credit)]:[3rd Semester (Total Grade + Credit)]])/SUM(Student_CGPA[[#This Row],[1st Semester Credit]:[3rd Semester Credit]])</f>
        <v>2.1351351351351351</v>
      </c>
      <c r="U5" s="247">
        <f>SUM(Student_CGPA[[#This Row],[1st Semester (Total Grade + Credit)]:[4th Semester (Total Grade + Credit)]])/SUM(Student_CGPA[[#This Row],[1st Semester Credit]:[4th Semester Credit]])</f>
        <v>2.2234042553191489</v>
      </c>
      <c r="V5" s="247">
        <f>SUM(Student_CGPA[[#This Row],[1st Semester (Total Grade + Credit)]:[5th Semester (Total Grade + Credit)]])/SUM(Student_CGPA[[#This Row],[1st Semester Credit]:[5th Semester Credit]])</f>
        <v>2.1741071428571428</v>
      </c>
    </row>
    <row r="6" spans="1:22" x14ac:dyDescent="0.25">
      <c r="A6" s="236" t="s">
        <v>3</v>
      </c>
      <c r="B6" s="235" t="s">
        <v>29</v>
      </c>
      <c r="C6" s="245">
        <f>'1st Semester'!Q21</f>
        <v>2.9375</v>
      </c>
      <c r="D6" s="245">
        <f>'2nd Semester'!T21</f>
        <v>2.0909090909090908</v>
      </c>
      <c r="E6" s="245">
        <f>'3rd Semester'!W21</f>
        <v>2.2142857142857144</v>
      </c>
      <c r="F6" s="245">
        <f>'4th Semester'!Q21</f>
        <v>2.1</v>
      </c>
      <c r="G6" s="245">
        <f>'5th Semester'!N21</f>
        <v>2.75</v>
      </c>
      <c r="H6" s="256">
        <f>'1st Semester'!O21</f>
        <v>35.25</v>
      </c>
      <c r="I6" s="256">
        <f>'2nd Semester'!R21</f>
        <v>23</v>
      </c>
      <c r="J6" s="256">
        <f>'3rd Semester'!U21</f>
        <v>31</v>
      </c>
      <c r="K6" s="256">
        <f>'4th Semester'!O21</f>
        <v>21</v>
      </c>
      <c r="L6" s="256">
        <f>'5th Semester'!L21</f>
        <v>24.75</v>
      </c>
      <c r="M6" s="237">
        <f>'1st Semester'!P21</f>
        <v>12</v>
      </c>
      <c r="N6" s="237">
        <f>'2nd Semester'!S21</f>
        <v>11</v>
      </c>
      <c r="O6" s="237">
        <f>'3rd Semester'!V21</f>
        <v>14</v>
      </c>
      <c r="P6" s="237">
        <f>'4th Semester'!P21</f>
        <v>10</v>
      </c>
      <c r="Q6" s="237">
        <f>'5th Semester'!M21</f>
        <v>9</v>
      </c>
      <c r="R6" s="251">
        <f>Student_CGPA[[#This Row],[1st Semester (Total Grade + Credit)]]/Student_CGPA[[#This Row],[1st Semester Credit]]</f>
        <v>2.9375</v>
      </c>
      <c r="S6" s="251">
        <f>SUM(Student_CGPA[[#This Row],[1st Semester (Total Grade + Credit)]]+Student_CGPA[[#This Row],[2nd Semester (Total Grade + Credit)]])/(Student_CGPA[[#This Row],[1st Semester Credit]]+Student_CGPA[[#This Row],[2nd Semester Credit]])</f>
        <v>2.5326086956521738</v>
      </c>
      <c r="T6" s="251">
        <f>SUM(Student_CGPA[[#This Row],[1st Semester (Total Grade + Credit)]:[3rd Semester (Total Grade + Credit)]])/SUM(Student_CGPA[[#This Row],[1st Semester Credit]:[3rd Semester Credit]])</f>
        <v>2.4121621621621623</v>
      </c>
      <c r="U6" s="251">
        <f>SUM(Student_CGPA[[#This Row],[1st Semester (Total Grade + Credit)]:[4th Semester (Total Grade + Credit)]])/SUM(Student_CGPA[[#This Row],[1st Semester Credit]:[4th Semester Credit]])</f>
        <v>2.3457446808510638</v>
      </c>
      <c r="V6" s="251">
        <f>SUM(Student_CGPA[[#This Row],[1st Semester (Total Grade + Credit)]:[5th Semester (Total Grade + Credit)]])/SUM(Student_CGPA[[#This Row],[1st Semester Credit]:[5th Semester Credit]])</f>
        <v>2.4107142857142856</v>
      </c>
    </row>
    <row r="7" spans="1:22" x14ac:dyDescent="0.25">
      <c r="A7" s="238" t="s">
        <v>4</v>
      </c>
      <c r="B7" s="239" t="s">
        <v>30</v>
      </c>
      <c r="C7" s="247">
        <f>'1st Semester'!Q22</f>
        <v>2.875</v>
      </c>
      <c r="D7" s="247">
        <f>'2nd Semester'!T22</f>
        <v>2.3181818181818183</v>
      </c>
      <c r="E7" s="247">
        <f>'3rd Semester'!W22</f>
        <v>3.4107142857142856</v>
      </c>
      <c r="F7" s="247">
        <f>'4th Semester'!Q22</f>
        <v>2.25</v>
      </c>
      <c r="G7" s="247">
        <f>'5th Semester'!N22</f>
        <v>0.75</v>
      </c>
      <c r="H7" s="247">
        <f>'1st Semester'!O22</f>
        <v>34.5</v>
      </c>
      <c r="I7" s="247">
        <f>'2nd Semester'!R22</f>
        <v>25.5</v>
      </c>
      <c r="J7" s="247">
        <f>'3rd Semester'!U22</f>
        <v>47.75</v>
      </c>
      <c r="K7" s="247">
        <f>'4th Semester'!O22</f>
        <v>22.5</v>
      </c>
      <c r="L7" s="247">
        <f>'5th Semester'!L22</f>
        <v>6.75</v>
      </c>
      <c r="M7" s="248">
        <f>'1st Semester'!P22</f>
        <v>12</v>
      </c>
      <c r="N7" s="248">
        <f>'2nd Semester'!S22</f>
        <v>11</v>
      </c>
      <c r="O7" s="248">
        <f>'3rd Semester'!V22</f>
        <v>14</v>
      </c>
      <c r="P7" s="248">
        <f>'4th Semester'!P22</f>
        <v>10</v>
      </c>
      <c r="Q7" s="248">
        <f>'5th Semester'!M22</f>
        <v>9</v>
      </c>
      <c r="R7" s="247">
        <f>Student_CGPA[[#This Row],[1st Semester (Total Grade + Credit)]]/Student_CGPA[[#This Row],[1st Semester Credit]]</f>
        <v>2.875</v>
      </c>
      <c r="S7" s="247">
        <f>SUM(Student_CGPA[[#This Row],[1st Semester (Total Grade + Credit)]]+Student_CGPA[[#This Row],[2nd Semester (Total Grade + Credit)]])/(Student_CGPA[[#This Row],[1st Semester Credit]]+Student_CGPA[[#This Row],[2nd Semester Credit]])</f>
        <v>2.6086956521739131</v>
      </c>
      <c r="T7" s="247">
        <f>SUM(Student_CGPA[[#This Row],[1st Semester (Total Grade + Credit)]:[3rd Semester (Total Grade + Credit)]])/SUM(Student_CGPA[[#This Row],[1st Semester Credit]:[3rd Semester Credit]])</f>
        <v>2.9121621621621623</v>
      </c>
      <c r="U7" s="247">
        <f>SUM(Student_CGPA[[#This Row],[1st Semester (Total Grade + Credit)]:[4th Semester (Total Grade + Credit)]])/SUM(Student_CGPA[[#This Row],[1st Semester Credit]:[4th Semester Credit]])</f>
        <v>2.771276595744681</v>
      </c>
      <c r="V7" s="247">
        <f>SUM(Student_CGPA[[#This Row],[1st Semester (Total Grade + Credit)]:[5th Semester (Total Grade + Credit)]])/SUM(Student_CGPA[[#This Row],[1st Semester Credit]:[5th Semester Credit]])</f>
        <v>2.4464285714285716</v>
      </c>
    </row>
    <row r="8" spans="1:22" s="232" customFormat="1" x14ac:dyDescent="0.25">
      <c r="A8" s="240" t="s">
        <v>5</v>
      </c>
      <c r="B8" s="241" t="s">
        <v>31</v>
      </c>
      <c r="C8" s="246"/>
      <c r="D8" s="246"/>
      <c r="E8" s="246"/>
      <c r="F8" s="246"/>
      <c r="G8" s="246"/>
      <c r="H8" s="246"/>
      <c r="I8" s="246"/>
      <c r="J8" s="246"/>
      <c r="K8" s="246"/>
      <c r="L8" s="246"/>
      <c r="M8" s="242"/>
      <c r="N8" s="242"/>
      <c r="O8" s="242"/>
      <c r="P8" s="242"/>
      <c r="Q8" s="242"/>
      <c r="R8" s="252"/>
      <c r="S8" s="252"/>
      <c r="T8" s="252"/>
      <c r="U8" s="252"/>
      <c r="V8" s="252"/>
    </row>
    <row r="9" spans="1:22" s="110" customFormat="1" x14ac:dyDescent="0.25">
      <c r="A9" s="238" t="s">
        <v>6</v>
      </c>
      <c r="B9" s="239" t="s">
        <v>32</v>
      </c>
      <c r="C9" s="247">
        <f>'1st Semester'!Q24</f>
        <v>3.1875</v>
      </c>
      <c r="D9" s="247">
        <f>'2nd Semester'!T24</f>
        <v>1.0909090909090908</v>
      </c>
      <c r="E9" s="247">
        <f>'3rd Semester'!W24</f>
        <v>2.25</v>
      </c>
      <c r="F9" s="247">
        <f>'4th Semester'!Q24</f>
        <v>3.3250000000000002</v>
      </c>
      <c r="G9" s="247">
        <f>'5th Semester'!N24</f>
        <v>3</v>
      </c>
      <c r="H9" s="247">
        <f>'1st Semester'!O24</f>
        <v>38.25</v>
      </c>
      <c r="I9" s="247">
        <f>'2nd Semester'!R24</f>
        <v>12</v>
      </c>
      <c r="J9" s="247">
        <f>'3rd Semester'!U24</f>
        <v>31.5</v>
      </c>
      <c r="K9" s="247">
        <f>'4th Semester'!O24</f>
        <v>33.25</v>
      </c>
      <c r="L9" s="247">
        <f>'5th Semester'!L24</f>
        <v>27</v>
      </c>
      <c r="M9" s="248">
        <f>'1st Semester'!P24</f>
        <v>12</v>
      </c>
      <c r="N9" s="248">
        <f>'2nd Semester'!S24</f>
        <v>11</v>
      </c>
      <c r="O9" s="248">
        <f>'3rd Semester'!V24</f>
        <v>14</v>
      </c>
      <c r="P9" s="248">
        <f>'4th Semester'!P24</f>
        <v>10</v>
      </c>
      <c r="Q9" s="248">
        <f>'5th Semester'!M24</f>
        <v>9</v>
      </c>
      <c r="R9" s="247">
        <f>Student_CGPA[[#This Row],[1st Semester (Total Grade + Credit)]]/Student_CGPA[[#This Row],[1st Semester Credit]]</f>
        <v>3.1875</v>
      </c>
      <c r="S9" s="247">
        <f>SUM(Student_CGPA[[#This Row],[1st Semester (Total Grade + Credit)]]+Student_CGPA[[#This Row],[2nd Semester (Total Grade + Credit)]])/(Student_CGPA[[#This Row],[1st Semester Credit]]+Student_CGPA[[#This Row],[2nd Semester Credit]])</f>
        <v>2.1847826086956523</v>
      </c>
      <c r="T9" s="247">
        <f>SUM(Student_CGPA[[#This Row],[1st Semester (Total Grade + Credit)]:[3rd Semester (Total Grade + Credit)]])/SUM(Student_CGPA[[#This Row],[1st Semester Credit]:[3rd Semester Credit]])</f>
        <v>2.2094594594594597</v>
      </c>
      <c r="U9" s="247">
        <f>SUM(Student_CGPA[[#This Row],[1st Semester (Total Grade + Credit)]:[4th Semester (Total Grade + Credit)]])/SUM(Student_CGPA[[#This Row],[1st Semester Credit]:[4th Semester Credit]])</f>
        <v>2.4468085106382977</v>
      </c>
      <c r="V9" s="247">
        <f>SUM(Student_CGPA[[#This Row],[1st Semester (Total Grade + Credit)]:[5th Semester (Total Grade + Credit)]])/SUM(Student_CGPA[[#This Row],[1st Semester Credit]:[5th Semester Credit]])</f>
        <v>2.5357142857142856</v>
      </c>
    </row>
    <row r="10" spans="1:22" s="110" customFormat="1" x14ac:dyDescent="0.25">
      <c r="A10" s="236" t="s">
        <v>7</v>
      </c>
      <c r="B10" s="235" t="s">
        <v>33</v>
      </c>
      <c r="C10" s="245">
        <f>'1st Semester'!Q25</f>
        <v>2.875</v>
      </c>
      <c r="D10" s="245">
        <f>'2nd Semester'!T25</f>
        <v>1.0909090909090908</v>
      </c>
      <c r="E10" s="245">
        <f>'3rd Semester'!W25</f>
        <v>2.3035714285714284</v>
      </c>
      <c r="F10" s="245">
        <f>'4th Semester'!Q25</f>
        <v>2.625</v>
      </c>
      <c r="G10" s="245">
        <f>'5th Semester'!N25</f>
        <v>2</v>
      </c>
      <c r="H10" s="256">
        <f>'1st Semester'!O25</f>
        <v>34.5</v>
      </c>
      <c r="I10" s="256">
        <f>'2nd Semester'!R25</f>
        <v>12</v>
      </c>
      <c r="J10" s="256">
        <f>'3rd Semester'!U25</f>
        <v>32.25</v>
      </c>
      <c r="K10" s="256">
        <f>'4th Semester'!O25</f>
        <v>26.25</v>
      </c>
      <c r="L10" s="256">
        <f>'5th Semester'!L25</f>
        <v>18</v>
      </c>
      <c r="M10" s="237">
        <f>'1st Semester'!P25</f>
        <v>12</v>
      </c>
      <c r="N10" s="237">
        <f>'2nd Semester'!S25</f>
        <v>11</v>
      </c>
      <c r="O10" s="237">
        <f>'3rd Semester'!V25</f>
        <v>14</v>
      </c>
      <c r="P10" s="237">
        <f>'4th Semester'!P25</f>
        <v>10</v>
      </c>
      <c r="Q10" s="237">
        <f>'5th Semester'!M25</f>
        <v>9</v>
      </c>
      <c r="R10" s="251">
        <f>Student_CGPA[[#This Row],[1st Semester (Total Grade + Credit)]]/Student_CGPA[[#This Row],[1st Semester Credit]]</f>
        <v>2.875</v>
      </c>
      <c r="S10" s="251">
        <f>SUM(Student_CGPA[[#This Row],[1st Semester (Total Grade + Credit)]]+Student_CGPA[[#This Row],[2nd Semester (Total Grade + Credit)]])/(Student_CGPA[[#This Row],[1st Semester Credit]]+Student_CGPA[[#This Row],[2nd Semester Credit]])</f>
        <v>2.0217391304347827</v>
      </c>
      <c r="T10" s="251">
        <f>SUM(Student_CGPA[[#This Row],[1st Semester (Total Grade + Credit)]:[3rd Semester (Total Grade + Credit)]])/SUM(Student_CGPA[[#This Row],[1st Semester Credit]:[3rd Semester Credit]])</f>
        <v>2.1283783783783785</v>
      </c>
      <c r="U10" s="251">
        <f>SUM(Student_CGPA[[#This Row],[1st Semester (Total Grade + Credit)]:[4th Semester (Total Grade + Credit)]])/SUM(Student_CGPA[[#This Row],[1st Semester Credit]:[4th Semester Credit]])</f>
        <v>2.2340425531914891</v>
      </c>
      <c r="V10" s="251">
        <f>SUM(Student_CGPA[[#This Row],[1st Semester (Total Grade + Credit)]:[5th Semester (Total Grade + Credit)]])/SUM(Student_CGPA[[#This Row],[1st Semester Credit]:[5th Semester Credit]])</f>
        <v>2.1964285714285716</v>
      </c>
    </row>
    <row r="11" spans="1:22" s="110" customFormat="1" x14ac:dyDescent="0.25">
      <c r="A11" s="238" t="s">
        <v>8</v>
      </c>
      <c r="B11" s="239" t="s">
        <v>34</v>
      </c>
      <c r="C11" s="247">
        <f>'1st Semester'!Q26</f>
        <v>1.25</v>
      </c>
      <c r="D11" s="247">
        <f>'2nd Semester'!T26</f>
        <v>2.9090909090909092</v>
      </c>
      <c r="E11" s="247">
        <f>'3rd Semester'!W26</f>
        <v>2.7321428571428572</v>
      </c>
      <c r="F11" s="247">
        <f>'4th Semester'!Q26</f>
        <v>1.8</v>
      </c>
      <c r="G11" s="247">
        <f>'5th Semester'!N26</f>
        <v>2.1666666666666665</v>
      </c>
      <c r="H11" s="247">
        <f>'1st Semester'!O26</f>
        <v>15</v>
      </c>
      <c r="I11" s="247">
        <f>'2nd Semester'!R26</f>
        <v>32</v>
      </c>
      <c r="J11" s="247">
        <f>'3rd Semester'!U26</f>
        <v>38.25</v>
      </c>
      <c r="K11" s="247">
        <f>'4th Semester'!O26</f>
        <v>18</v>
      </c>
      <c r="L11" s="247">
        <f>'5th Semester'!L26</f>
        <v>19.5</v>
      </c>
      <c r="M11" s="248">
        <f>'1st Semester'!P26</f>
        <v>12</v>
      </c>
      <c r="N11" s="248">
        <f>'2nd Semester'!S26</f>
        <v>11</v>
      </c>
      <c r="O11" s="248">
        <f>'3rd Semester'!V26</f>
        <v>14</v>
      </c>
      <c r="P11" s="248">
        <f>'4th Semester'!P26</f>
        <v>10</v>
      </c>
      <c r="Q11" s="248">
        <f>'5th Semester'!M26</f>
        <v>9</v>
      </c>
      <c r="R11" s="247">
        <f>Student_CGPA[[#This Row],[1st Semester (Total Grade + Credit)]]/Student_CGPA[[#This Row],[1st Semester Credit]]</f>
        <v>1.25</v>
      </c>
      <c r="S11" s="247">
        <f>SUM(Student_CGPA[[#This Row],[1st Semester (Total Grade + Credit)]]+Student_CGPA[[#This Row],[2nd Semester (Total Grade + Credit)]])/(Student_CGPA[[#This Row],[1st Semester Credit]]+Student_CGPA[[#This Row],[2nd Semester Credit]])</f>
        <v>2.0434782608695654</v>
      </c>
      <c r="T11" s="247">
        <f>SUM(Student_CGPA[[#This Row],[1st Semester (Total Grade + Credit)]:[3rd Semester (Total Grade + Credit)]])/SUM(Student_CGPA[[#This Row],[1st Semester Credit]:[3rd Semester Credit]])</f>
        <v>2.3040540540540539</v>
      </c>
      <c r="U11" s="247">
        <f>SUM(Student_CGPA[[#This Row],[1st Semester (Total Grade + Credit)]:[4th Semester (Total Grade + Credit)]])/SUM(Student_CGPA[[#This Row],[1st Semester Credit]:[4th Semester Credit]])</f>
        <v>2.1968085106382977</v>
      </c>
      <c r="V11" s="247">
        <f>SUM(Student_CGPA[[#This Row],[1st Semester (Total Grade + Credit)]:[5th Semester (Total Grade + Credit)]])/SUM(Student_CGPA[[#This Row],[1st Semester Credit]:[5th Semester Credit]])</f>
        <v>2.1919642857142856</v>
      </c>
    </row>
    <row r="12" spans="1:22" s="110" customFormat="1" x14ac:dyDescent="0.25">
      <c r="A12" s="236" t="s">
        <v>9</v>
      </c>
      <c r="B12" s="235" t="s">
        <v>35</v>
      </c>
      <c r="C12" s="245">
        <f>'1st Semester'!Q27</f>
        <v>2.625</v>
      </c>
      <c r="D12" s="245">
        <f>'2nd Semester'!T27</f>
        <v>1.1136363636363635</v>
      </c>
      <c r="E12" s="245">
        <f>'3rd Semester'!W27</f>
        <v>2.7857142857142856</v>
      </c>
      <c r="F12" s="245">
        <f>'4th Semester'!Q27</f>
        <v>2.4750000000000001</v>
      </c>
      <c r="G12" s="245">
        <f>'5th Semester'!N27</f>
        <v>2.25</v>
      </c>
      <c r="H12" s="256">
        <f>'1st Semester'!O27</f>
        <v>31.5</v>
      </c>
      <c r="I12" s="256">
        <f>'2nd Semester'!R27</f>
        <v>12.25</v>
      </c>
      <c r="J12" s="256">
        <f>'3rd Semester'!U27</f>
        <v>39</v>
      </c>
      <c r="K12" s="256">
        <f>'4th Semester'!O27</f>
        <v>24.75</v>
      </c>
      <c r="L12" s="256">
        <f>'5th Semester'!L27</f>
        <v>20.25</v>
      </c>
      <c r="M12" s="237">
        <f>'1st Semester'!P27</f>
        <v>12</v>
      </c>
      <c r="N12" s="237">
        <f>'2nd Semester'!S27</f>
        <v>11</v>
      </c>
      <c r="O12" s="237">
        <f>'3rd Semester'!V27</f>
        <v>14</v>
      </c>
      <c r="P12" s="237">
        <f>'4th Semester'!P27</f>
        <v>10</v>
      </c>
      <c r="Q12" s="237">
        <f>'5th Semester'!M27</f>
        <v>9</v>
      </c>
      <c r="R12" s="251">
        <f>Student_CGPA[[#This Row],[1st Semester (Total Grade + Credit)]]/Student_CGPA[[#This Row],[1st Semester Credit]]</f>
        <v>2.625</v>
      </c>
      <c r="S12" s="251">
        <f>SUM(Student_CGPA[[#This Row],[1st Semester (Total Grade + Credit)]]+Student_CGPA[[#This Row],[2nd Semester (Total Grade + Credit)]])/(Student_CGPA[[#This Row],[1st Semester Credit]]+Student_CGPA[[#This Row],[2nd Semester Credit]])</f>
        <v>1.9021739130434783</v>
      </c>
      <c r="T12" s="251">
        <f>SUM(Student_CGPA[[#This Row],[1st Semester (Total Grade + Credit)]:[3rd Semester (Total Grade + Credit)]])/SUM(Student_CGPA[[#This Row],[1st Semester Credit]:[3rd Semester Credit]])</f>
        <v>2.2364864864864864</v>
      </c>
      <c r="U12" s="251">
        <f>SUM(Student_CGPA[[#This Row],[1st Semester (Total Grade + Credit)]:[4th Semester (Total Grade + Credit)]])/SUM(Student_CGPA[[#This Row],[1st Semester Credit]:[4th Semester Credit]])</f>
        <v>2.2872340425531914</v>
      </c>
      <c r="V12" s="251">
        <f>SUM(Student_CGPA[[#This Row],[1st Semester (Total Grade + Credit)]:[5th Semester (Total Grade + Credit)]])/SUM(Student_CGPA[[#This Row],[1st Semester Credit]:[5th Semester Credit]])</f>
        <v>2.28125</v>
      </c>
    </row>
    <row r="13" spans="1:22" s="110" customFormat="1" x14ac:dyDescent="0.25">
      <c r="A13" s="238" t="s">
        <v>10</v>
      </c>
      <c r="B13" s="239" t="s">
        <v>36</v>
      </c>
      <c r="C13" s="247">
        <f>'1st Semester'!Q28</f>
        <v>1.9375</v>
      </c>
      <c r="D13" s="247">
        <f>'2nd Semester'!T28</f>
        <v>2.2954545454545454</v>
      </c>
      <c r="E13" s="247">
        <f>'3rd Semester'!W28</f>
        <v>2.9821428571428572</v>
      </c>
      <c r="F13" s="247">
        <f>'4th Semester'!Q28</f>
        <v>1.8</v>
      </c>
      <c r="G13" s="247">
        <f>'5th Semester'!N28</f>
        <v>2.9166666666666665</v>
      </c>
      <c r="H13" s="247">
        <f>'1st Semester'!O28</f>
        <v>23.25</v>
      </c>
      <c r="I13" s="247">
        <f>'2nd Semester'!R28</f>
        <v>25.25</v>
      </c>
      <c r="J13" s="247">
        <f>'3rd Semester'!U28</f>
        <v>41.75</v>
      </c>
      <c r="K13" s="247">
        <f>'4th Semester'!O28</f>
        <v>18</v>
      </c>
      <c r="L13" s="247">
        <f>'5th Semester'!L28</f>
        <v>26.25</v>
      </c>
      <c r="M13" s="248">
        <f>'1st Semester'!P28</f>
        <v>12</v>
      </c>
      <c r="N13" s="248">
        <f>'2nd Semester'!S28</f>
        <v>11</v>
      </c>
      <c r="O13" s="248">
        <f>'3rd Semester'!V28</f>
        <v>14</v>
      </c>
      <c r="P13" s="248">
        <f>'4th Semester'!P28</f>
        <v>10</v>
      </c>
      <c r="Q13" s="248">
        <f>'5th Semester'!M28</f>
        <v>9</v>
      </c>
      <c r="R13" s="247">
        <f>Student_CGPA[[#This Row],[1st Semester (Total Grade + Credit)]]/Student_CGPA[[#This Row],[1st Semester Credit]]</f>
        <v>1.9375</v>
      </c>
      <c r="S13" s="247">
        <f>SUM(Student_CGPA[[#This Row],[1st Semester (Total Grade + Credit)]]+Student_CGPA[[#This Row],[2nd Semester (Total Grade + Credit)]])/(Student_CGPA[[#This Row],[1st Semester Credit]]+Student_CGPA[[#This Row],[2nd Semester Credit]])</f>
        <v>2.1086956521739131</v>
      </c>
      <c r="T13" s="247">
        <f>SUM(Student_CGPA[[#This Row],[1st Semester (Total Grade + Credit)]:[3rd Semester (Total Grade + Credit)]])/SUM(Student_CGPA[[#This Row],[1st Semester Credit]:[3rd Semester Credit]])</f>
        <v>2.439189189189189</v>
      </c>
      <c r="U13" s="247">
        <f>SUM(Student_CGPA[[#This Row],[1st Semester (Total Grade + Credit)]:[4th Semester (Total Grade + Credit)]])/SUM(Student_CGPA[[#This Row],[1st Semester Credit]:[4th Semester Credit]])</f>
        <v>2.3031914893617023</v>
      </c>
      <c r="V13" s="247">
        <f>SUM(Student_CGPA[[#This Row],[1st Semester (Total Grade + Credit)]:[5th Semester (Total Grade + Credit)]])/SUM(Student_CGPA[[#This Row],[1st Semester Credit]:[5th Semester Credit]])</f>
        <v>2.4017857142857144</v>
      </c>
    </row>
    <row r="14" spans="1:22" s="232" customFormat="1" x14ac:dyDescent="0.25">
      <c r="A14" s="240" t="s">
        <v>11</v>
      </c>
      <c r="B14" s="241" t="s">
        <v>31</v>
      </c>
      <c r="C14" s="246"/>
      <c r="D14" s="246"/>
      <c r="E14" s="246"/>
      <c r="F14" s="246"/>
      <c r="G14" s="246"/>
      <c r="H14" s="246"/>
      <c r="I14" s="246"/>
      <c r="J14" s="246"/>
      <c r="K14" s="246"/>
      <c r="L14" s="246"/>
      <c r="M14" s="242"/>
      <c r="N14" s="242"/>
      <c r="O14" s="242"/>
      <c r="P14" s="242"/>
      <c r="Q14" s="242"/>
      <c r="R14" s="252"/>
      <c r="S14" s="252"/>
      <c r="T14" s="252"/>
      <c r="U14" s="252"/>
      <c r="V14" s="252"/>
    </row>
    <row r="15" spans="1:22" s="110" customFormat="1" x14ac:dyDescent="0.25">
      <c r="A15" s="238" t="s">
        <v>12</v>
      </c>
      <c r="B15" s="239" t="s">
        <v>37</v>
      </c>
      <c r="C15" s="247">
        <f>'1st Semester'!Q30</f>
        <v>2.0625</v>
      </c>
      <c r="D15" s="247">
        <f>'2nd Semester'!T30</f>
        <v>2.4545454545454546</v>
      </c>
      <c r="E15" s="247">
        <f>'3rd Semester'!W30</f>
        <v>2.75</v>
      </c>
      <c r="F15" s="247">
        <f>'4th Semester'!Q30</f>
        <v>1.875</v>
      </c>
      <c r="G15" s="247">
        <f>'5th Semester'!N30</f>
        <v>1</v>
      </c>
      <c r="H15" s="247">
        <f>'1st Semester'!O30</f>
        <v>24.75</v>
      </c>
      <c r="I15" s="247">
        <f>'2nd Semester'!R30</f>
        <v>27</v>
      </c>
      <c r="J15" s="247">
        <f>'3rd Semester'!U30</f>
        <v>38.5</v>
      </c>
      <c r="K15" s="247">
        <f>'4th Semester'!O30</f>
        <v>18.75</v>
      </c>
      <c r="L15" s="247">
        <f>'5th Semester'!L30</f>
        <v>9</v>
      </c>
      <c r="M15" s="248">
        <f>'1st Semester'!P30</f>
        <v>12</v>
      </c>
      <c r="N15" s="248">
        <f>'2nd Semester'!S30</f>
        <v>11</v>
      </c>
      <c r="O15" s="248">
        <f>'3rd Semester'!V30</f>
        <v>14</v>
      </c>
      <c r="P15" s="248">
        <f>'4th Semester'!P30</f>
        <v>10</v>
      </c>
      <c r="Q15" s="248">
        <f>'5th Semester'!M30</f>
        <v>9</v>
      </c>
      <c r="R15" s="247">
        <f>Student_CGPA[[#This Row],[1st Semester (Total Grade + Credit)]]/Student_CGPA[[#This Row],[1st Semester Credit]]</f>
        <v>2.0625</v>
      </c>
      <c r="S15" s="247">
        <f>SUM(Student_CGPA[[#This Row],[1st Semester (Total Grade + Credit)]]+Student_CGPA[[#This Row],[2nd Semester (Total Grade + Credit)]])/(Student_CGPA[[#This Row],[1st Semester Credit]]+Student_CGPA[[#This Row],[2nd Semester Credit]])</f>
        <v>2.25</v>
      </c>
      <c r="T15" s="247">
        <f>SUM(Student_CGPA[[#This Row],[1st Semester (Total Grade + Credit)]:[3rd Semester (Total Grade + Credit)]])/SUM(Student_CGPA[[#This Row],[1st Semester Credit]:[3rd Semester Credit]])</f>
        <v>2.439189189189189</v>
      </c>
      <c r="U15" s="247">
        <f>SUM(Student_CGPA[[#This Row],[1st Semester (Total Grade + Credit)]:[4th Semester (Total Grade + Credit)]])/SUM(Student_CGPA[[#This Row],[1st Semester Credit]:[4th Semester Credit]])</f>
        <v>2.3191489361702127</v>
      </c>
      <c r="V15" s="247">
        <f>SUM(Student_CGPA[[#This Row],[1st Semester (Total Grade + Credit)]:[5th Semester (Total Grade + Credit)]])/SUM(Student_CGPA[[#This Row],[1st Semester Credit]:[5th Semester Credit]])</f>
        <v>2.1071428571428572</v>
      </c>
    </row>
    <row r="16" spans="1:22" s="110" customFormat="1" x14ac:dyDescent="0.25">
      <c r="A16" s="236" t="s">
        <v>13</v>
      </c>
      <c r="B16" s="235" t="s">
        <v>38</v>
      </c>
      <c r="C16" s="245">
        <f>'1st Semester'!Q31</f>
        <v>2.75</v>
      </c>
      <c r="D16" s="245">
        <f>'2nd Semester'!T31</f>
        <v>1.7954545454545454</v>
      </c>
      <c r="E16" s="245">
        <f>'3rd Semester'!W31</f>
        <v>3.2142857142857144</v>
      </c>
      <c r="F16" s="245">
        <f>'4th Semester'!Q31</f>
        <v>2.5750000000000002</v>
      </c>
      <c r="G16" s="245">
        <f>'5th Semester'!N31</f>
        <v>2.5833333333333335</v>
      </c>
      <c r="H16" s="256">
        <f>'1st Semester'!O31</f>
        <v>33</v>
      </c>
      <c r="I16" s="256">
        <f>'2nd Semester'!R31</f>
        <v>19.75</v>
      </c>
      <c r="J16" s="256">
        <f>'3rd Semester'!U31</f>
        <v>45</v>
      </c>
      <c r="K16" s="256">
        <f>'4th Semester'!O31</f>
        <v>25.75</v>
      </c>
      <c r="L16" s="256">
        <f>'5th Semester'!L31</f>
        <v>23.25</v>
      </c>
      <c r="M16" s="237">
        <f>'1st Semester'!P31</f>
        <v>12</v>
      </c>
      <c r="N16" s="237">
        <f>'2nd Semester'!S31</f>
        <v>11</v>
      </c>
      <c r="O16" s="237">
        <f>'3rd Semester'!V31</f>
        <v>14</v>
      </c>
      <c r="P16" s="237">
        <f>'4th Semester'!P31</f>
        <v>10</v>
      </c>
      <c r="Q16" s="237">
        <f>'5th Semester'!M31</f>
        <v>9</v>
      </c>
      <c r="R16" s="251">
        <f>Student_CGPA[[#This Row],[1st Semester (Total Grade + Credit)]]/Student_CGPA[[#This Row],[1st Semester Credit]]</f>
        <v>2.75</v>
      </c>
      <c r="S16" s="251">
        <f>SUM(Student_CGPA[[#This Row],[1st Semester (Total Grade + Credit)]]+Student_CGPA[[#This Row],[2nd Semester (Total Grade + Credit)]])/(Student_CGPA[[#This Row],[1st Semester Credit]]+Student_CGPA[[#This Row],[2nd Semester Credit]])</f>
        <v>2.2934782608695654</v>
      </c>
      <c r="T16" s="251">
        <f>SUM(Student_CGPA[[#This Row],[1st Semester (Total Grade + Credit)]:[3rd Semester (Total Grade + Credit)]])/SUM(Student_CGPA[[#This Row],[1st Semester Credit]:[3rd Semester Credit]])</f>
        <v>2.6418918918918921</v>
      </c>
      <c r="U16" s="251">
        <f>SUM(Student_CGPA[[#This Row],[1st Semester (Total Grade + Credit)]:[4th Semester (Total Grade + Credit)]])/SUM(Student_CGPA[[#This Row],[1st Semester Credit]:[4th Semester Credit]])</f>
        <v>2.6276595744680851</v>
      </c>
      <c r="V16" s="251">
        <f>SUM(Student_CGPA[[#This Row],[1st Semester (Total Grade + Credit)]:[5th Semester (Total Grade + Credit)]])/SUM(Student_CGPA[[#This Row],[1st Semester Credit]:[5th Semester Credit]])</f>
        <v>2.6205357142857144</v>
      </c>
    </row>
    <row r="17" spans="1:22" s="110" customFormat="1" x14ac:dyDescent="0.25">
      <c r="A17" s="238" t="s">
        <v>14</v>
      </c>
      <c r="B17" s="239" t="s">
        <v>39</v>
      </c>
      <c r="C17" s="247">
        <f>'1st Semester'!Q32</f>
        <v>2.375</v>
      </c>
      <c r="D17" s="247">
        <f>'2nd Semester'!T32</f>
        <v>2.7272727272727271</v>
      </c>
      <c r="E17" s="247">
        <f>'3rd Semester'!W32</f>
        <v>2.4107142857142856</v>
      </c>
      <c r="F17" s="247">
        <f>'4th Semester'!Q32</f>
        <v>2.1749999999999998</v>
      </c>
      <c r="G17" s="247">
        <f>'5th Semester'!N32</f>
        <v>0</v>
      </c>
      <c r="H17" s="247">
        <f>'1st Semester'!O32</f>
        <v>28.5</v>
      </c>
      <c r="I17" s="247">
        <f>'2nd Semester'!R32</f>
        <v>30</v>
      </c>
      <c r="J17" s="247">
        <f>'3rd Semester'!U32</f>
        <v>33.75</v>
      </c>
      <c r="K17" s="247">
        <f>'4th Semester'!O32</f>
        <v>21.75</v>
      </c>
      <c r="L17" s="247">
        <f>'5th Semester'!L32</f>
        <v>0</v>
      </c>
      <c r="M17" s="248">
        <f>'1st Semester'!P32</f>
        <v>12</v>
      </c>
      <c r="N17" s="248">
        <f>'2nd Semester'!S32</f>
        <v>11</v>
      </c>
      <c r="O17" s="248">
        <f>'3rd Semester'!V32</f>
        <v>14</v>
      </c>
      <c r="P17" s="248">
        <f>'4th Semester'!P32</f>
        <v>10</v>
      </c>
      <c r="Q17" s="248">
        <f>'5th Semester'!M32</f>
        <v>9</v>
      </c>
      <c r="R17" s="247">
        <f>Student_CGPA[[#This Row],[1st Semester (Total Grade + Credit)]]/Student_CGPA[[#This Row],[1st Semester Credit]]</f>
        <v>2.375</v>
      </c>
      <c r="S17" s="247">
        <f>SUM(Student_CGPA[[#This Row],[1st Semester (Total Grade + Credit)]]+Student_CGPA[[#This Row],[2nd Semester (Total Grade + Credit)]])/(Student_CGPA[[#This Row],[1st Semester Credit]]+Student_CGPA[[#This Row],[2nd Semester Credit]])</f>
        <v>2.5434782608695654</v>
      </c>
      <c r="T17" s="247">
        <f>SUM(Student_CGPA[[#This Row],[1st Semester (Total Grade + Credit)]:[3rd Semester (Total Grade + Credit)]])/SUM(Student_CGPA[[#This Row],[1st Semester Credit]:[3rd Semester Credit]])</f>
        <v>2.4932432432432434</v>
      </c>
      <c r="U17" s="247">
        <f>SUM(Student_CGPA[[#This Row],[1st Semester (Total Grade + Credit)]:[4th Semester (Total Grade + Credit)]])/SUM(Student_CGPA[[#This Row],[1st Semester Credit]:[4th Semester Credit]])</f>
        <v>2.4255319148936172</v>
      </c>
      <c r="V17" s="247">
        <f>SUM(Student_CGPA[[#This Row],[1st Semester (Total Grade + Credit)]:[5th Semester (Total Grade + Credit)]])/SUM(Student_CGPA[[#This Row],[1st Semester Credit]:[5th Semester Credit]])</f>
        <v>2.0357142857142856</v>
      </c>
    </row>
    <row r="18" spans="1:22" s="110" customFormat="1" x14ac:dyDescent="0.25">
      <c r="A18" s="236" t="s">
        <v>15</v>
      </c>
      <c r="B18" s="235" t="s">
        <v>40</v>
      </c>
      <c r="C18" s="245">
        <f>'1st Semester'!Q33</f>
        <v>2.25</v>
      </c>
      <c r="D18" s="245">
        <f>'2nd Semester'!T33</f>
        <v>1.6363636363636365</v>
      </c>
      <c r="E18" s="245">
        <f>'3rd Semester'!W33</f>
        <v>2.9285714285714284</v>
      </c>
      <c r="F18" s="245">
        <f>'4th Semester'!Q33</f>
        <v>2.625</v>
      </c>
      <c r="G18" s="245">
        <f>'5th Semester'!N33</f>
        <v>3.25</v>
      </c>
      <c r="H18" s="256">
        <f>'1st Semester'!O33</f>
        <v>27</v>
      </c>
      <c r="I18" s="256">
        <f>'2nd Semester'!R33</f>
        <v>18</v>
      </c>
      <c r="J18" s="256">
        <f>'3rd Semester'!U33</f>
        <v>41</v>
      </c>
      <c r="K18" s="256">
        <f>'4th Semester'!O33</f>
        <v>26.25</v>
      </c>
      <c r="L18" s="256">
        <f>'5th Semester'!L33</f>
        <v>29.25</v>
      </c>
      <c r="M18" s="237">
        <f>'1st Semester'!P33</f>
        <v>12</v>
      </c>
      <c r="N18" s="237">
        <f>'2nd Semester'!S33</f>
        <v>11</v>
      </c>
      <c r="O18" s="237">
        <f>'3rd Semester'!V33</f>
        <v>14</v>
      </c>
      <c r="P18" s="237">
        <f>'4th Semester'!P33</f>
        <v>10</v>
      </c>
      <c r="Q18" s="237">
        <f>'5th Semester'!M33</f>
        <v>9</v>
      </c>
      <c r="R18" s="251">
        <f>Student_CGPA[[#This Row],[1st Semester (Total Grade + Credit)]]/Student_CGPA[[#This Row],[1st Semester Credit]]</f>
        <v>2.25</v>
      </c>
      <c r="S18" s="251">
        <f>SUM(Student_CGPA[[#This Row],[1st Semester (Total Grade + Credit)]]+Student_CGPA[[#This Row],[2nd Semester (Total Grade + Credit)]])/(Student_CGPA[[#This Row],[1st Semester Credit]]+Student_CGPA[[#This Row],[2nd Semester Credit]])</f>
        <v>1.9565217391304348</v>
      </c>
      <c r="T18" s="251">
        <f>SUM(Student_CGPA[[#This Row],[1st Semester (Total Grade + Credit)]:[3rd Semester (Total Grade + Credit)]])/SUM(Student_CGPA[[#This Row],[1st Semester Credit]:[3rd Semester Credit]])</f>
        <v>2.3243243243243241</v>
      </c>
      <c r="U18" s="251">
        <f>SUM(Student_CGPA[[#This Row],[1st Semester (Total Grade + Credit)]:[4th Semester (Total Grade + Credit)]])/SUM(Student_CGPA[[#This Row],[1st Semester Credit]:[4th Semester Credit]])</f>
        <v>2.3882978723404253</v>
      </c>
      <c r="V18" s="251">
        <f>SUM(Student_CGPA[[#This Row],[1st Semester (Total Grade + Credit)]:[5th Semester (Total Grade + Credit)]])/SUM(Student_CGPA[[#This Row],[1st Semester Credit]:[5th Semester Credit]])</f>
        <v>2.5267857142857144</v>
      </c>
    </row>
    <row r="19" spans="1:22" s="232" customFormat="1" x14ac:dyDescent="0.25">
      <c r="A19" s="243" t="s">
        <v>16</v>
      </c>
      <c r="B19" s="244" t="s">
        <v>31</v>
      </c>
      <c r="C19" s="249"/>
      <c r="D19" s="249"/>
      <c r="E19" s="249"/>
      <c r="F19" s="249"/>
      <c r="G19" s="249"/>
      <c r="H19" s="246"/>
      <c r="I19" s="246"/>
      <c r="J19" s="246"/>
      <c r="K19" s="246"/>
      <c r="L19" s="246"/>
      <c r="M19" s="250"/>
      <c r="N19" s="250"/>
      <c r="O19" s="250"/>
      <c r="P19" s="250"/>
      <c r="Q19" s="250"/>
      <c r="R19" s="249"/>
      <c r="S19" s="249"/>
      <c r="T19" s="249"/>
      <c r="U19" s="249"/>
      <c r="V19" s="249"/>
    </row>
    <row r="20" spans="1:22" x14ac:dyDescent="0.25">
      <c r="A20" s="236" t="s">
        <v>17</v>
      </c>
      <c r="B20" s="235" t="s">
        <v>41</v>
      </c>
      <c r="C20" s="245">
        <f>'1st Semester'!Q35</f>
        <v>2.625</v>
      </c>
      <c r="D20" s="245">
        <f>'2nd Semester'!T35</f>
        <v>1.9090909090909092</v>
      </c>
      <c r="E20" s="245">
        <f>'3rd Semester'!W35</f>
        <v>3.2321428571428572</v>
      </c>
      <c r="F20" s="245">
        <f>'4th Semester'!Q35</f>
        <v>2.4</v>
      </c>
      <c r="G20" s="245">
        <f>'5th Semester'!N35</f>
        <v>1.8333333333333333</v>
      </c>
      <c r="H20" s="256">
        <f>'1st Semester'!O35</f>
        <v>31.5</v>
      </c>
      <c r="I20" s="256">
        <f>'2nd Semester'!R35</f>
        <v>21</v>
      </c>
      <c r="J20" s="256">
        <f>'3rd Semester'!U35</f>
        <v>45.25</v>
      </c>
      <c r="K20" s="256">
        <f>'4th Semester'!O35</f>
        <v>24</v>
      </c>
      <c r="L20" s="256">
        <f>'5th Semester'!L35</f>
        <v>16.5</v>
      </c>
      <c r="M20" s="237">
        <f>'1st Semester'!P35</f>
        <v>12</v>
      </c>
      <c r="N20" s="237">
        <f>'2nd Semester'!S35</f>
        <v>11</v>
      </c>
      <c r="O20" s="237">
        <f>'3rd Semester'!V35</f>
        <v>14</v>
      </c>
      <c r="P20" s="237">
        <f>'4th Semester'!P35</f>
        <v>10</v>
      </c>
      <c r="Q20" s="237">
        <f>'5th Semester'!M35</f>
        <v>9</v>
      </c>
      <c r="R20" s="251">
        <f>Student_CGPA[[#This Row],[1st Semester (Total Grade + Credit)]]/Student_CGPA[[#This Row],[1st Semester Credit]]</f>
        <v>2.625</v>
      </c>
      <c r="S20" s="251">
        <f>SUM(Student_CGPA[[#This Row],[1st Semester (Total Grade + Credit)]]+Student_CGPA[[#This Row],[2nd Semester (Total Grade + Credit)]])/(Student_CGPA[[#This Row],[1st Semester Credit]]+Student_CGPA[[#This Row],[2nd Semester Credit]])</f>
        <v>2.2826086956521738</v>
      </c>
      <c r="T20" s="251">
        <f>SUM(Student_CGPA[[#This Row],[1st Semester (Total Grade + Credit)]:[3rd Semester (Total Grade + Credit)]])/SUM(Student_CGPA[[#This Row],[1st Semester Credit]:[3rd Semester Credit]])</f>
        <v>2.6418918918918921</v>
      </c>
      <c r="U20" s="251">
        <f>SUM(Student_CGPA[[#This Row],[1st Semester (Total Grade + Credit)]:[4th Semester (Total Grade + Credit)]])/SUM(Student_CGPA[[#This Row],[1st Semester Credit]:[4th Semester Credit]])</f>
        <v>2.5904255319148937</v>
      </c>
      <c r="V20" s="251">
        <f>SUM(Student_CGPA[[#This Row],[1st Semester (Total Grade + Credit)]:[5th Semester (Total Grade + Credit)]])/SUM(Student_CGPA[[#This Row],[1st Semester Credit]:[5th Semester Credit]])</f>
        <v>2.46875</v>
      </c>
    </row>
    <row r="21" spans="1:22" x14ac:dyDescent="0.25">
      <c r="A21" s="238" t="s">
        <v>18</v>
      </c>
      <c r="B21" s="239" t="s">
        <v>42</v>
      </c>
      <c r="C21" s="247">
        <f>'1st Semester'!Q36</f>
        <v>1.1875</v>
      </c>
      <c r="D21" s="247">
        <f>'2nd Semester'!T36</f>
        <v>1.8863636363636365</v>
      </c>
      <c r="E21" s="247">
        <f>'3rd Semester'!W36</f>
        <v>3.2678571428571428</v>
      </c>
      <c r="F21" s="247">
        <f>'4th Semester'!Q36</f>
        <v>2.3250000000000002</v>
      </c>
      <c r="G21" s="247">
        <f>'5th Semester'!N36</f>
        <v>2.4166666666666665</v>
      </c>
      <c r="H21" s="247">
        <f>'1st Semester'!O36</f>
        <v>14.25</v>
      </c>
      <c r="I21" s="247">
        <f>'2nd Semester'!R36</f>
        <v>20.75</v>
      </c>
      <c r="J21" s="247">
        <f>'3rd Semester'!U36</f>
        <v>45.75</v>
      </c>
      <c r="K21" s="247">
        <f>'4th Semester'!O36</f>
        <v>23.25</v>
      </c>
      <c r="L21" s="247">
        <f>'5th Semester'!L36</f>
        <v>21.75</v>
      </c>
      <c r="M21" s="248">
        <f>'1st Semester'!P36</f>
        <v>12</v>
      </c>
      <c r="N21" s="248">
        <f>'2nd Semester'!S36</f>
        <v>11</v>
      </c>
      <c r="O21" s="248">
        <f>'3rd Semester'!V36</f>
        <v>14</v>
      </c>
      <c r="P21" s="248">
        <f>'4th Semester'!P36</f>
        <v>10</v>
      </c>
      <c r="Q21" s="248">
        <f>'5th Semester'!M36</f>
        <v>9</v>
      </c>
      <c r="R21" s="247">
        <f>Student_CGPA[[#This Row],[1st Semester (Total Grade + Credit)]]/Student_CGPA[[#This Row],[1st Semester Credit]]</f>
        <v>1.1875</v>
      </c>
      <c r="S21" s="247">
        <f>SUM(Student_CGPA[[#This Row],[1st Semester (Total Grade + Credit)]]+Student_CGPA[[#This Row],[2nd Semester (Total Grade + Credit)]])/(Student_CGPA[[#This Row],[1st Semester Credit]]+Student_CGPA[[#This Row],[2nd Semester Credit]])</f>
        <v>1.5217391304347827</v>
      </c>
      <c r="T21" s="247">
        <f>SUM(Student_CGPA[[#This Row],[1st Semester (Total Grade + Credit)]:[3rd Semester (Total Grade + Credit)]])/SUM(Student_CGPA[[#This Row],[1st Semester Credit]:[3rd Semester Credit]])</f>
        <v>2.1824324324324325</v>
      </c>
      <c r="U21" s="247">
        <f>SUM(Student_CGPA[[#This Row],[1st Semester (Total Grade + Credit)]:[4th Semester (Total Grade + Credit)]])/SUM(Student_CGPA[[#This Row],[1st Semester Credit]:[4th Semester Credit]])</f>
        <v>2.2127659574468086</v>
      </c>
      <c r="V21" s="247">
        <f>SUM(Student_CGPA[[#This Row],[1st Semester (Total Grade + Credit)]:[5th Semester (Total Grade + Credit)]])/SUM(Student_CGPA[[#This Row],[1st Semester Credit]:[5th Semester Credit]])</f>
        <v>2.2455357142857144</v>
      </c>
    </row>
    <row r="22" spans="1:22" x14ac:dyDescent="0.25">
      <c r="A22" s="236" t="s">
        <v>19</v>
      </c>
      <c r="B22" s="235" t="s">
        <v>43</v>
      </c>
      <c r="C22" s="245">
        <f>'1st Semester'!Q37</f>
        <v>3.125</v>
      </c>
      <c r="D22" s="245">
        <f>'2nd Semester'!T37</f>
        <v>2.2045454545454546</v>
      </c>
      <c r="E22" s="245">
        <f>'3rd Semester'!W37</f>
        <v>2.5357142857142856</v>
      </c>
      <c r="F22" s="245">
        <f>'4th Semester'!Q37</f>
        <v>3.05</v>
      </c>
      <c r="G22" s="245">
        <f>'5th Semester'!N37</f>
        <v>2.6666666666666665</v>
      </c>
      <c r="H22" s="256">
        <f>'1st Semester'!O37</f>
        <v>37.5</v>
      </c>
      <c r="I22" s="256">
        <f>'2nd Semester'!R37</f>
        <v>24.25</v>
      </c>
      <c r="J22" s="256">
        <f>'3rd Semester'!U37</f>
        <v>35.5</v>
      </c>
      <c r="K22" s="256">
        <f>'4th Semester'!O37</f>
        <v>30.5</v>
      </c>
      <c r="L22" s="256">
        <f>'5th Semester'!L37</f>
        <v>24</v>
      </c>
      <c r="M22" s="237">
        <f>'1st Semester'!P37</f>
        <v>12</v>
      </c>
      <c r="N22" s="237">
        <f>'2nd Semester'!S37</f>
        <v>11</v>
      </c>
      <c r="O22" s="237">
        <f>'3rd Semester'!V37</f>
        <v>14</v>
      </c>
      <c r="P22" s="237">
        <f>'4th Semester'!P37</f>
        <v>10</v>
      </c>
      <c r="Q22" s="237">
        <f>'5th Semester'!M37</f>
        <v>9</v>
      </c>
      <c r="R22" s="251">
        <f>Student_CGPA[[#This Row],[1st Semester (Total Grade + Credit)]]/Student_CGPA[[#This Row],[1st Semester Credit]]</f>
        <v>3.125</v>
      </c>
      <c r="S22" s="251">
        <f>SUM(Student_CGPA[[#This Row],[1st Semester (Total Grade + Credit)]]+Student_CGPA[[#This Row],[2nd Semester (Total Grade + Credit)]])/(Student_CGPA[[#This Row],[1st Semester Credit]]+Student_CGPA[[#This Row],[2nd Semester Credit]])</f>
        <v>2.6847826086956523</v>
      </c>
      <c r="T22" s="251">
        <f>SUM(Student_CGPA[[#This Row],[1st Semester (Total Grade + Credit)]:[3rd Semester (Total Grade + Credit)]])/SUM(Student_CGPA[[#This Row],[1st Semester Credit]:[3rd Semester Credit]])</f>
        <v>2.6283783783783785</v>
      </c>
      <c r="U22" s="251">
        <f>SUM(Student_CGPA[[#This Row],[1st Semester (Total Grade + Credit)]:[4th Semester (Total Grade + Credit)]])/SUM(Student_CGPA[[#This Row],[1st Semester Credit]:[4th Semester Credit]])</f>
        <v>2.7180851063829787</v>
      </c>
      <c r="V22" s="251">
        <f>SUM(Student_CGPA[[#This Row],[1st Semester (Total Grade + Credit)]:[5th Semester (Total Grade + Credit)]])/SUM(Student_CGPA[[#This Row],[1st Semester Credit]:[5th Semester Credit]])</f>
        <v>2.7098214285714284</v>
      </c>
    </row>
    <row r="23" spans="1:22" x14ac:dyDescent="0.25">
      <c r="A23" s="238" t="s">
        <v>23</v>
      </c>
      <c r="B23" s="239" t="s">
        <v>44</v>
      </c>
      <c r="C23" s="247">
        <f>'1st Semester'!Q38</f>
        <v>2.5625</v>
      </c>
      <c r="D23" s="247">
        <f>'2nd Semester'!T38</f>
        <v>3.0681818181818183</v>
      </c>
      <c r="E23" s="247">
        <f>'3rd Semester'!W38</f>
        <v>2.75</v>
      </c>
      <c r="F23" s="247">
        <f>'4th Semester'!Q38</f>
        <v>2.75</v>
      </c>
      <c r="G23" s="247">
        <f>'5th Semester'!N38</f>
        <v>2.9166666666666665</v>
      </c>
      <c r="H23" s="247">
        <f>'1st Semester'!O38</f>
        <v>30.75</v>
      </c>
      <c r="I23" s="247">
        <f>'2nd Semester'!R38</f>
        <v>33.75</v>
      </c>
      <c r="J23" s="247">
        <f>'3rd Semester'!U38</f>
        <v>38.5</v>
      </c>
      <c r="K23" s="247">
        <f>'4th Semester'!O38</f>
        <v>27.5</v>
      </c>
      <c r="L23" s="247">
        <f>'5th Semester'!L38</f>
        <v>26.25</v>
      </c>
      <c r="M23" s="248">
        <f>'1st Semester'!P38</f>
        <v>12</v>
      </c>
      <c r="N23" s="248">
        <f>'2nd Semester'!S38</f>
        <v>11</v>
      </c>
      <c r="O23" s="248">
        <f>'3rd Semester'!V38</f>
        <v>14</v>
      </c>
      <c r="P23" s="248">
        <f>'4th Semester'!P38</f>
        <v>10</v>
      </c>
      <c r="Q23" s="248">
        <f>'5th Semester'!M38</f>
        <v>9</v>
      </c>
      <c r="R23" s="247">
        <f>Student_CGPA[[#This Row],[1st Semester (Total Grade + Credit)]]/Student_CGPA[[#This Row],[1st Semester Credit]]</f>
        <v>2.5625</v>
      </c>
      <c r="S23" s="247">
        <f>SUM(Student_CGPA[[#This Row],[1st Semester (Total Grade + Credit)]]+Student_CGPA[[#This Row],[2nd Semester (Total Grade + Credit)]])/(Student_CGPA[[#This Row],[1st Semester Credit]]+Student_CGPA[[#This Row],[2nd Semester Credit]])</f>
        <v>2.8043478260869565</v>
      </c>
      <c r="T23" s="247">
        <f>SUM(Student_CGPA[[#This Row],[1st Semester (Total Grade + Credit)]:[3rd Semester (Total Grade + Credit)]])/SUM(Student_CGPA[[#This Row],[1st Semester Credit]:[3rd Semester Credit]])</f>
        <v>2.7837837837837838</v>
      </c>
      <c r="U23" s="247">
        <f>SUM(Student_CGPA[[#This Row],[1st Semester (Total Grade + Credit)]:[4th Semester (Total Grade + Credit)]])/SUM(Student_CGPA[[#This Row],[1st Semester Credit]:[4th Semester Credit]])</f>
        <v>2.7765957446808511</v>
      </c>
      <c r="V23" s="247">
        <f>SUM(Student_CGPA[[#This Row],[1st Semester (Total Grade + Credit)]:[5th Semester (Total Grade + Credit)]])/SUM(Student_CGPA[[#This Row],[1st Semester Credit]:[5th Semester Credit]])</f>
        <v>2.7991071428571428</v>
      </c>
    </row>
    <row r="24" spans="1:22" x14ac:dyDescent="0.25">
      <c r="A24" s="236" t="s">
        <v>24</v>
      </c>
      <c r="B24" s="235" t="s">
        <v>45</v>
      </c>
      <c r="C24" s="245">
        <f>'1st Semester'!Q39</f>
        <v>2</v>
      </c>
      <c r="D24" s="245">
        <f>'2nd Semester'!T39</f>
        <v>2.7727272727272729</v>
      </c>
      <c r="E24" s="245">
        <f>'3rd Semester'!W39</f>
        <v>3.1071428571428572</v>
      </c>
      <c r="F24" s="245">
        <f>'4th Semester'!Q39</f>
        <v>2.5</v>
      </c>
      <c r="G24" s="245">
        <f>'5th Semester'!N39</f>
        <v>2.8333333333333335</v>
      </c>
      <c r="H24" s="256">
        <f>'1st Semester'!O39</f>
        <v>24</v>
      </c>
      <c r="I24" s="256">
        <f>'2nd Semester'!R39</f>
        <v>30.5</v>
      </c>
      <c r="J24" s="256">
        <f>'3rd Semester'!U39</f>
        <v>43.5</v>
      </c>
      <c r="K24" s="256">
        <f>'4th Semester'!O39</f>
        <v>25</v>
      </c>
      <c r="L24" s="256">
        <f>'5th Semester'!L39</f>
        <v>25.5</v>
      </c>
      <c r="M24" s="237">
        <f>'1st Semester'!P39</f>
        <v>12</v>
      </c>
      <c r="N24" s="237">
        <f>'2nd Semester'!S39</f>
        <v>11</v>
      </c>
      <c r="O24" s="237">
        <f>'3rd Semester'!V39</f>
        <v>14</v>
      </c>
      <c r="P24" s="237">
        <f>'4th Semester'!P39</f>
        <v>10</v>
      </c>
      <c r="Q24" s="237">
        <f>'5th Semester'!M39</f>
        <v>9</v>
      </c>
      <c r="R24" s="251">
        <f>Student_CGPA[[#This Row],[1st Semester (Total Grade + Credit)]]/Student_CGPA[[#This Row],[1st Semester Credit]]</f>
        <v>2</v>
      </c>
      <c r="S24" s="251">
        <f>SUM(Student_CGPA[[#This Row],[1st Semester (Total Grade + Credit)]]+Student_CGPA[[#This Row],[2nd Semester (Total Grade + Credit)]])/(Student_CGPA[[#This Row],[1st Semester Credit]]+Student_CGPA[[#This Row],[2nd Semester Credit]])</f>
        <v>2.3695652173913042</v>
      </c>
      <c r="T24" s="251">
        <f>SUM(Student_CGPA[[#This Row],[1st Semester (Total Grade + Credit)]:[3rd Semester (Total Grade + Credit)]])/SUM(Student_CGPA[[#This Row],[1st Semester Credit]:[3rd Semester Credit]])</f>
        <v>2.6486486486486487</v>
      </c>
      <c r="U24" s="251">
        <f>SUM(Student_CGPA[[#This Row],[1st Semester (Total Grade + Credit)]:[4th Semester (Total Grade + Credit)]])/SUM(Student_CGPA[[#This Row],[1st Semester Credit]:[4th Semester Credit]])</f>
        <v>2.6170212765957448</v>
      </c>
      <c r="V24" s="251">
        <f>SUM(Student_CGPA[[#This Row],[1st Semester (Total Grade + Credit)]:[5th Semester (Total Grade + Credit)]])/SUM(Student_CGPA[[#This Row],[1st Semester Credit]:[5th Semester Credit]])</f>
        <v>2.6517857142857144</v>
      </c>
    </row>
    <row r="25" spans="1:22" x14ac:dyDescent="0.25">
      <c r="A25" s="238" t="s">
        <v>25</v>
      </c>
      <c r="B25" s="239" t="s">
        <v>46</v>
      </c>
      <c r="C25" s="247">
        <f>'1st Semester'!Q40</f>
        <v>2.125</v>
      </c>
      <c r="D25" s="247">
        <f>'2nd Semester'!T40</f>
        <v>0.72727272727272729</v>
      </c>
      <c r="E25" s="247">
        <f>'3rd Semester'!W40</f>
        <v>2.3214285714285716</v>
      </c>
      <c r="F25" s="247">
        <f>'4th Semester'!Q40</f>
        <v>2.6749999999999998</v>
      </c>
      <c r="G25" s="247">
        <f>'5th Semester'!N40</f>
        <v>3.5833333333333335</v>
      </c>
      <c r="H25" s="247">
        <f>'1st Semester'!O40</f>
        <v>25.5</v>
      </c>
      <c r="I25" s="247">
        <f>'2nd Semester'!R40</f>
        <v>8</v>
      </c>
      <c r="J25" s="247">
        <f>'3rd Semester'!U40</f>
        <v>32.5</v>
      </c>
      <c r="K25" s="247">
        <f>'4th Semester'!O40</f>
        <v>26.75</v>
      </c>
      <c r="L25" s="247">
        <f>'5th Semester'!L40</f>
        <v>32.25</v>
      </c>
      <c r="M25" s="248">
        <f>'1st Semester'!P40</f>
        <v>12</v>
      </c>
      <c r="N25" s="248">
        <f>'2nd Semester'!S40</f>
        <v>11</v>
      </c>
      <c r="O25" s="248">
        <f>'3rd Semester'!V40</f>
        <v>14</v>
      </c>
      <c r="P25" s="248">
        <f>'4th Semester'!P40</f>
        <v>10</v>
      </c>
      <c r="Q25" s="248">
        <f>'5th Semester'!M40</f>
        <v>9</v>
      </c>
      <c r="R25" s="247">
        <f>Student_CGPA[[#This Row],[1st Semester (Total Grade + Credit)]]/Student_CGPA[[#This Row],[1st Semester Credit]]</f>
        <v>2.125</v>
      </c>
      <c r="S25" s="247">
        <f>SUM(Student_CGPA[[#This Row],[1st Semester (Total Grade + Credit)]]+Student_CGPA[[#This Row],[2nd Semester (Total Grade + Credit)]])/(Student_CGPA[[#This Row],[1st Semester Credit]]+Student_CGPA[[#This Row],[2nd Semester Credit]])</f>
        <v>1.4565217391304348</v>
      </c>
      <c r="T25" s="247">
        <f>SUM(Student_CGPA[[#This Row],[1st Semester (Total Grade + Credit)]:[3rd Semester (Total Grade + Credit)]])/SUM(Student_CGPA[[#This Row],[1st Semester Credit]:[3rd Semester Credit]])</f>
        <v>1.7837837837837838</v>
      </c>
      <c r="U25" s="247">
        <f>SUM(Student_CGPA[[#This Row],[1st Semester (Total Grade + Credit)]:[4th Semester (Total Grade + Credit)]])/SUM(Student_CGPA[[#This Row],[1st Semester Credit]:[4th Semester Credit]])</f>
        <v>1.9734042553191489</v>
      </c>
      <c r="V25" s="247">
        <f>SUM(Student_CGPA[[#This Row],[1st Semester (Total Grade + Credit)]:[5th Semester (Total Grade + Credit)]])/SUM(Student_CGPA[[#This Row],[1st Semester Credit]:[5th Semester Credit]])</f>
        <v>2.2321428571428572</v>
      </c>
    </row>
    <row r="26" spans="1:22" x14ac:dyDescent="0.25">
      <c r="A26" s="236" t="s">
        <v>26</v>
      </c>
      <c r="B26" s="235" t="s">
        <v>47</v>
      </c>
      <c r="C26" s="245">
        <f>'1st Semester'!Q41</f>
        <v>2.875</v>
      </c>
      <c r="D26" s="245">
        <f>'2nd Semester'!T41</f>
        <v>2.25</v>
      </c>
      <c r="E26" s="245">
        <f>'3rd Semester'!W41</f>
        <v>2.125</v>
      </c>
      <c r="F26" s="245">
        <f>'4th Semester'!Q41</f>
        <v>1.7250000000000001</v>
      </c>
      <c r="G26" s="245">
        <f>'5th Semester'!N41</f>
        <v>1.9166666666666667</v>
      </c>
      <c r="H26" s="256">
        <f>'1st Semester'!O41</f>
        <v>34.5</v>
      </c>
      <c r="I26" s="256">
        <f>'2nd Semester'!R41</f>
        <v>24.75</v>
      </c>
      <c r="J26" s="256">
        <f>'3rd Semester'!U41</f>
        <v>29.75</v>
      </c>
      <c r="K26" s="256">
        <f>'4th Semester'!O41</f>
        <v>17.25</v>
      </c>
      <c r="L26" s="256">
        <f>'5th Semester'!L41</f>
        <v>17.25</v>
      </c>
      <c r="M26" s="237">
        <f>'1st Semester'!P41</f>
        <v>12</v>
      </c>
      <c r="N26" s="237">
        <f>'2nd Semester'!S41</f>
        <v>11</v>
      </c>
      <c r="O26" s="237">
        <f>'3rd Semester'!V41</f>
        <v>14</v>
      </c>
      <c r="P26" s="237">
        <f>'4th Semester'!P41</f>
        <v>10</v>
      </c>
      <c r="Q26" s="237">
        <f>'5th Semester'!M41</f>
        <v>9</v>
      </c>
      <c r="R26" s="251">
        <f>Student_CGPA[[#This Row],[1st Semester (Total Grade + Credit)]]/Student_CGPA[[#This Row],[1st Semester Credit]]</f>
        <v>2.875</v>
      </c>
      <c r="S26" s="251">
        <f>SUM(Student_CGPA[[#This Row],[1st Semester (Total Grade + Credit)]]+Student_CGPA[[#This Row],[2nd Semester (Total Grade + Credit)]])/(Student_CGPA[[#This Row],[1st Semester Credit]]+Student_CGPA[[#This Row],[2nd Semester Credit]])</f>
        <v>2.5760869565217392</v>
      </c>
      <c r="T26" s="251">
        <f>SUM(Student_CGPA[[#This Row],[1st Semester (Total Grade + Credit)]:[3rd Semester (Total Grade + Credit)]])/SUM(Student_CGPA[[#This Row],[1st Semester Credit]:[3rd Semester Credit]])</f>
        <v>2.4054054054054053</v>
      </c>
      <c r="U26" s="251">
        <f>SUM(Student_CGPA[[#This Row],[1st Semester (Total Grade + Credit)]:[4th Semester (Total Grade + Credit)]])/SUM(Student_CGPA[[#This Row],[1st Semester Credit]:[4th Semester Credit]])</f>
        <v>2.2606382978723403</v>
      </c>
      <c r="V26" s="251">
        <f>SUM(Student_CGPA[[#This Row],[1st Semester (Total Grade + Credit)]:[5th Semester (Total Grade + Credit)]])/SUM(Student_CGPA[[#This Row],[1st Semester Credit]:[5th Semester Credit]])</f>
        <v>2.2053571428571428</v>
      </c>
    </row>
    <row r="27" spans="1:22" x14ac:dyDescent="0.25">
      <c r="A27" s="238" t="s">
        <v>50</v>
      </c>
      <c r="B27" s="239" t="s">
        <v>51</v>
      </c>
      <c r="C27" s="247">
        <f>'1st Semester'!Q42</f>
        <v>3.125</v>
      </c>
      <c r="D27" s="247">
        <f>'2nd Semester'!T42</f>
        <v>3.0909090909090908</v>
      </c>
      <c r="E27" s="247">
        <f>'3rd Semester'!W42</f>
        <v>2.875</v>
      </c>
      <c r="F27" s="247">
        <f>'4th Semester'!Q42</f>
        <v>2.7</v>
      </c>
      <c r="G27" s="247">
        <f>'5th Semester'!N42</f>
        <v>1.6666666666666667</v>
      </c>
      <c r="H27" s="247">
        <f>'1st Semester'!O42</f>
        <v>37.5</v>
      </c>
      <c r="I27" s="247">
        <f>'2nd Semester'!R42</f>
        <v>34</v>
      </c>
      <c r="J27" s="247">
        <f>'3rd Semester'!U42</f>
        <v>40.25</v>
      </c>
      <c r="K27" s="247">
        <f>'4th Semester'!O42</f>
        <v>27</v>
      </c>
      <c r="L27" s="247">
        <f>'5th Semester'!L42</f>
        <v>15</v>
      </c>
      <c r="M27" s="248">
        <f>'1st Semester'!P42</f>
        <v>12</v>
      </c>
      <c r="N27" s="248">
        <f>'2nd Semester'!S42</f>
        <v>11</v>
      </c>
      <c r="O27" s="248">
        <f>'3rd Semester'!V42</f>
        <v>14</v>
      </c>
      <c r="P27" s="248">
        <f>'4th Semester'!P42</f>
        <v>10</v>
      </c>
      <c r="Q27" s="248">
        <f>'5th Semester'!M42</f>
        <v>9</v>
      </c>
      <c r="R27" s="247">
        <f>Student_CGPA[[#This Row],[1st Semester (Total Grade + Credit)]]/Student_CGPA[[#This Row],[1st Semester Credit]]</f>
        <v>3.125</v>
      </c>
      <c r="S27" s="247">
        <f>SUM(Student_CGPA[[#This Row],[1st Semester (Total Grade + Credit)]]+Student_CGPA[[#This Row],[2nd Semester (Total Grade + Credit)]])/(Student_CGPA[[#This Row],[1st Semester Credit]]+Student_CGPA[[#This Row],[2nd Semester Credit]])</f>
        <v>3.1086956521739131</v>
      </c>
      <c r="T27" s="247">
        <f>SUM(Student_CGPA[[#This Row],[1st Semester (Total Grade + Credit)]:[3rd Semester (Total Grade + Credit)]])/SUM(Student_CGPA[[#This Row],[1st Semester Credit]:[3rd Semester Credit]])</f>
        <v>3.0202702702702702</v>
      </c>
      <c r="U27" s="247">
        <f>SUM(Student_CGPA[[#This Row],[1st Semester (Total Grade + Credit)]:[4th Semester (Total Grade + Credit)]])/SUM(Student_CGPA[[#This Row],[1st Semester Credit]:[4th Semester Credit]])</f>
        <v>2.9521276595744679</v>
      </c>
      <c r="V27" s="247">
        <f>SUM(Student_CGPA[[#This Row],[1st Semester (Total Grade + Credit)]:[5th Semester (Total Grade + Credit)]])/SUM(Student_CGPA[[#This Row],[1st Semester Credit]:[5th Semester Credit]])</f>
        <v>2.7455357142857144</v>
      </c>
    </row>
    <row r="28" spans="1:22" x14ac:dyDescent="0.25">
      <c r="A28" s="236" t="s">
        <v>53</v>
      </c>
      <c r="B28" s="235" t="s">
        <v>54</v>
      </c>
      <c r="C28" s="245">
        <f>'1st Semester'!Q43</f>
        <v>2.625</v>
      </c>
      <c r="D28" s="245">
        <f>'2nd Semester'!T43</f>
        <v>2.0227272727272729</v>
      </c>
      <c r="E28" s="245">
        <f>'3rd Semester'!W43</f>
        <v>2.2142857142857144</v>
      </c>
      <c r="F28" s="245">
        <f>'4th Semester'!Q43</f>
        <v>1.7749999999999999</v>
      </c>
      <c r="G28" s="245">
        <f>'5th Semester'!N43</f>
        <v>1.9166666666666667</v>
      </c>
      <c r="H28" s="256">
        <f>'1st Semester'!O43</f>
        <v>31.5</v>
      </c>
      <c r="I28" s="256">
        <f>'2nd Semester'!R43</f>
        <v>22.25</v>
      </c>
      <c r="J28" s="256">
        <f>'3rd Semester'!U43</f>
        <v>31</v>
      </c>
      <c r="K28" s="256">
        <f>'4th Semester'!O43</f>
        <v>17.75</v>
      </c>
      <c r="L28" s="256">
        <f>'5th Semester'!L43</f>
        <v>17.25</v>
      </c>
      <c r="M28" s="237">
        <f>'1st Semester'!P43</f>
        <v>12</v>
      </c>
      <c r="N28" s="237">
        <f>'2nd Semester'!S43</f>
        <v>11</v>
      </c>
      <c r="O28" s="237">
        <f>'3rd Semester'!V43</f>
        <v>14</v>
      </c>
      <c r="P28" s="237">
        <f>'4th Semester'!P43</f>
        <v>10</v>
      </c>
      <c r="Q28" s="237">
        <f>'5th Semester'!M43</f>
        <v>9</v>
      </c>
      <c r="R28" s="251">
        <f>Student_CGPA[[#This Row],[1st Semester (Total Grade + Credit)]]/Student_CGPA[[#This Row],[1st Semester Credit]]</f>
        <v>2.625</v>
      </c>
      <c r="S28" s="251">
        <f>SUM(Student_CGPA[[#This Row],[1st Semester (Total Grade + Credit)]]+Student_CGPA[[#This Row],[2nd Semester (Total Grade + Credit)]])/(Student_CGPA[[#This Row],[1st Semester Credit]]+Student_CGPA[[#This Row],[2nd Semester Credit]])</f>
        <v>2.3369565217391304</v>
      </c>
      <c r="T28" s="251">
        <f>SUM(Student_CGPA[[#This Row],[1st Semester (Total Grade + Credit)]:[3rd Semester (Total Grade + Credit)]])/SUM(Student_CGPA[[#This Row],[1st Semester Credit]:[3rd Semester Credit]])</f>
        <v>2.2905405405405403</v>
      </c>
      <c r="U28" s="251">
        <f>SUM(Student_CGPA[[#This Row],[1st Semester (Total Grade + Credit)]:[4th Semester (Total Grade + Credit)]])/SUM(Student_CGPA[[#This Row],[1st Semester Credit]:[4th Semester Credit]])</f>
        <v>2.1808510638297873</v>
      </c>
      <c r="V28" s="251">
        <f>SUM(Student_CGPA[[#This Row],[1st Semester (Total Grade + Credit)]:[5th Semester (Total Grade + Credit)]])/SUM(Student_CGPA[[#This Row],[1st Semester Credit]:[5th Semester Credit]])</f>
        <v>2.1383928571428572</v>
      </c>
    </row>
    <row r="29" spans="1:22" x14ac:dyDescent="0.25">
      <c r="A29" s="238" t="s">
        <v>60</v>
      </c>
      <c r="B29" s="239" t="s">
        <v>61</v>
      </c>
      <c r="C29" s="247">
        <f>'1st Semester'!Q44</f>
        <v>2.4375</v>
      </c>
      <c r="D29" s="247">
        <f>'2nd Semester'!T44</f>
        <v>1.8636363636363635</v>
      </c>
      <c r="E29" s="247">
        <f>'3rd Semester'!W44</f>
        <v>2.5714285714285716</v>
      </c>
      <c r="F29" s="247">
        <f>'4th Semester'!Q44</f>
        <v>2.5750000000000002</v>
      </c>
      <c r="G29" s="247">
        <f>'5th Semester'!N44</f>
        <v>2.3333333333333335</v>
      </c>
      <c r="H29" s="247">
        <f>'1st Semester'!O44</f>
        <v>29.25</v>
      </c>
      <c r="I29" s="247">
        <f>'2nd Semester'!R44</f>
        <v>20.5</v>
      </c>
      <c r="J29" s="247">
        <f>'3rd Semester'!U44</f>
        <v>36</v>
      </c>
      <c r="K29" s="247">
        <f>'4th Semester'!O44</f>
        <v>25.75</v>
      </c>
      <c r="L29" s="247">
        <f>'5th Semester'!L44</f>
        <v>21</v>
      </c>
      <c r="M29" s="248">
        <f>'1st Semester'!P44</f>
        <v>12</v>
      </c>
      <c r="N29" s="248">
        <f>'2nd Semester'!S44</f>
        <v>11</v>
      </c>
      <c r="O29" s="248">
        <f>'3rd Semester'!V44</f>
        <v>14</v>
      </c>
      <c r="P29" s="248">
        <f>'4th Semester'!P44</f>
        <v>10</v>
      </c>
      <c r="Q29" s="248">
        <f>'5th Semester'!M44</f>
        <v>9</v>
      </c>
      <c r="R29" s="247">
        <f>Student_CGPA[[#This Row],[1st Semester (Total Grade + Credit)]]/Student_CGPA[[#This Row],[1st Semester Credit]]</f>
        <v>2.4375</v>
      </c>
      <c r="S29" s="247">
        <f>SUM(Student_CGPA[[#This Row],[1st Semester (Total Grade + Credit)]]+Student_CGPA[[#This Row],[2nd Semester (Total Grade + Credit)]])/(Student_CGPA[[#This Row],[1st Semester Credit]]+Student_CGPA[[#This Row],[2nd Semester Credit]])</f>
        <v>2.1630434782608696</v>
      </c>
      <c r="T29" s="247">
        <f>SUM(Student_CGPA[[#This Row],[1st Semester (Total Grade + Credit)]:[3rd Semester (Total Grade + Credit)]])/SUM(Student_CGPA[[#This Row],[1st Semester Credit]:[3rd Semester Credit]])</f>
        <v>2.3175675675675675</v>
      </c>
      <c r="U29" s="247">
        <f>SUM(Student_CGPA[[#This Row],[1st Semester (Total Grade + Credit)]:[4th Semester (Total Grade + Credit)]])/SUM(Student_CGPA[[#This Row],[1st Semester Credit]:[4th Semester Credit]])</f>
        <v>2.3723404255319149</v>
      </c>
      <c r="V29" s="247">
        <f>SUM(Student_CGPA[[#This Row],[1st Semester (Total Grade + Credit)]:[5th Semester (Total Grade + Credit)]])/SUM(Student_CGPA[[#This Row],[1st Semester Credit]:[5th Semester Credit]])</f>
        <v>2.3660714285714284</v>
      </c>
    </row>
  </sheetData>
  <phoneticPr fontId="1" type="noConversion"/>
  <pageMargins left="0.7" right="0.7" top="0.75" bottom="0.75" header="0.3" footer="0.3"/>
  <tableParts count="1">
    <tablePart r:id="rId1"/>
  </tableParts>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B6CE08-1095-4487-8F89-C875A14C0285}">
  <sheetPr codeName="Sheet4"/>
  <dimension ref="A1:G29"/>
  <sheetViews>
    <sheetView zoomScale="85" zoomScaleNormal="85" workbookViewId="0"/>
  </sheetViews>
  <sheetFormatPr defaultRowHeight="15" x14ac:dyDescent="0.25"/>
  <cols>
    <col min="1" max="1" width="14.42578125" bestFit="1" customWidth="1"/>
    <col min="2" max="2" width="27.5703125" bestFit="1" customWidth="1"/>
    <col min="3" max="3" width="18.5703125" customWidth="1"/>
    <col min="4" max="4" width="19.85546875" bestFit="1" customWidth="1"/>
    <col min="5" max="5" width="17.85546875" bestFit="1" customWidth="1"/>
    <col min="6" max="6" width="29.28515625" bestFit="1" customWidth="1"/>
    <col min="7" max="7" width="14.5703125" bestFit="1" customWidth="1"/>
  </cols>
  <sheetData>
    <row r="1" spans="1:7" x14ac:dyDescent="0.25">
      <c r="A1" t="s">
        <v>22</v>
      </c>
      <c r="B1" t="s">
        <v>21</v>
      </c>
      <c r="C1" t="s">
        <v>364</v>
      </c>
      <c r="D1" t="s">
        <v>115</v>
      </c>
      <c r="E1" t="s">
        <v>66</v>
      </c>
      <c r="F1" t="s">
        <v>67</v>
      </c>
      <c r="G1" t="s">
        <v>108</v>
      </c>
    </row>
    <row r="2" spans="1:7" x14ac:dyDescent="0.25">
      <c r="A2" s="2">
        <v>52018</v>
      </c>
      <c r="B2" s="1" t="s">
        <v>58</v>
      </c>
      <c r="C2" s="2" t="s">
        <v>370</v>
      </c>
      <c r="D2" s="1" t="s">
        <v>116</v>
      </c>
      <c r="E2" s="1" t="s">
        <v>84</v>
      </c>
      <c r="F2" s="1" t="s">
        <v>85</v>
      </c>
      <c r="G2" s="2"/>
    </row>
    <row r="3" spans="1:7" x14ac:dyDescent="0.25">
      <c r="A3" s="2">
        <v>52021</v>
      </c>
      <c r="B3" s="1" t="s">
        <v>59</v>
      </c>
      <c r="C3" s="2" t="s">
        <v>369</v>
      </c>
      <c r="D3" s="1" t="s">
        <v>116</v>
      </c>
      <c r="E3" s="1" t="s">
        <v>86</v>
      </c>
      <c r="F3" s="1" t="s">
        <v>87</v>
      </c>
      <c r="G3" s="2"/>
    </row>
    <row r="4" spans="1:7" x14ac:dyDescent="0.25">
      <c r="A4" s="2">
        <v>16552</v>
      </c>
      <c r="B4" s="1" t="s">
        <v>27</v>
      </c>
      <c r="C4" s="103" t="s">
        <v>370</v>
      </c>
      <c r="D4" s="1" t="s">
        <v>116</v>
      </c>
      <c r="E4" s="1" t="s">
        <v>68</v>
      </c>
      <c r="F4" s="1" t="s">
        <v>88</v>
      </c>
      <c r="G4" s="2" t="s">
        <v>109</v>
      </c>
    </row>
    <row r="5" spans="1:7" x14ac:dyDescent="0.25">
      <c r="A5" s="2">
        <v>16553</v>
      </c>
      <c r="B5" s="1" t="s">
        <v>28</v>
      </c>
      <c r="C5" s="103" t="s">
        <v>370</v>
      </c>
      <c r="D5" s="1" t="s">
        <v>116</v>
      </c>
      <c r="E5" s="1" t="s">
        <v>69</v>
      </c>
      <c r="F5" s="1" t="s">
        <v>89</v>
      </c>
      <c r="G5" s="2"/>
    </row>
    <row r="6" spans="1:7" x14ac:dyDescent="0.25">
      <c r="A6" s="2">
        <v>16554</v>
      </c>
      <c r="B6" s="1" t="s">
        <v>29</v>
      </c>
      <c r="C6" s="103" t="s">
        <v>370</v>
      </c>
      <c r="D6" s="1" t="s">
        <v>116</v>
      </c>
      <c r="E6" s="1"/>
      <c r="F6" s="1" t="s">
        <v>90</v>
      </c>
      <c r="G6" s="2"/>
    </row>
    <row r="7" spans="1:7" s="21" customFormat="1" x14ac:dyDescent="0.25">
      <c r="A7" s="2">
        <v>16555</v>
      </c>
      <c r="B7" s="1" t="s">
        <v>30</v>
      </c>
      <c r="C7" s="2" t="s">
        <v>367</v>
      </c>
      <c r="D7" s="1" t="s">
        <v>116</v>
      </c>
      <c r="E7" s="1" t="s">
        <v>70</v>
      </c>
      <c r="F7" s="1" t="s">
        <v>91</v>
      </c>
      <c r="G7" s="2" t="s">
        <v>110</v>
      </c>
    </row>
    <row r="8" spans="1:7" s="21" customFormat="1" x14ac:dyDescent="0.25">
      <c r="A8" s="4">
        <v>16556</v>
      </c>
      <c r="B8" s="6" t="s">
        <v>123</v>
      </c>
      <c r="C8" s="4"/>
      <c r="D8" s="4"/>
      <c r="E8" s="6"/>
      <c r="F8" s="6"/>
      <c r="G8" s="4"/>
    </row>
    <row r="9" spans="1:7" s="21" customFormat="1" x14ac:dyDescent="0.25">
      <c r="A9" s="2">
        <v>16557</v>
      </c>
      <c r="B9" s="1" t="s">
        <v>32</v>
      </c>
      <c r="C9" s="103" t="s">
        <v>370</v>
      </c>
      <c r="D9" s="1" t="s">
        <v>116</v>
      </c>
      <c r="E9" s="1" t="s">
        <v>71</v>
      </c>
      <c r="F9" s="1" t="s">
        <v>92</v>
      </c>
      <c r="G9" s="2" t="s">
        <v>111</v>
      </c>
    </row>
    <row r="10" spans="1:7" s="21" customFormat="1" x14ac:dyDescent="0.25">
      <c r="A10" s="2">
        <v>16558</v>
      </c>
      <c r="B10" s="1" t="s">
        <v>33</v>
      </c>
      <c r="C10" s="2" t="s">
        <v>369</v>
      </c>
      <c r="D10" s="1" t="s">
        <v>116</v>
      </c>
      <c r="E10" s="1" t="s">
        <v>72</v>
      </c>
      <c r="F10" s="1" t="s">
        <v>93</v>
      </c>
      <c r="G10" s="2"/>
    </row>
    <row r="11" spans="1:7" s="21" customFormat="1" x14ac:dyDescent="0.25">
      <c r="A11" s="2">
        <v>16559</v>
      </c>
      <c r="B11" s="1" t="s">
        <v>34</v>
      </c>
      <c r="C11" s="2" t="s">
        <v>365</v>
      </c>
      <c r="D11" s="1" t="s">
        <v>116</v>
      </c>
      <c r="E11" s="1" t="s">
        <v>73</v>
      </c>
      <c r="F11" s="1" t="s">
        <v>94</v>
      </c>
      <c r="G11" s="2" t="s">
        <v>112</v>
      </c>
    </row>
    <row r="12" spans="1:7" s="21" customFormat="1" x14ac:dyDescent="0.25">
      <c r="A12" s="2">
        <v>16560</v>
      </c>
      <c r="B12" s="1" t="s">
        <v>35</v>
      </c>
      <c r="C12" s="2" t="s">
        <v>368</v>
      </c>
      <c r="D12" s="1" t="s">
        <v>116</v>
      </c>
      <c r="E12" s="1" t="s">
        <v>74</v>
      </c>
      <c r="F12" s="1" t="s">
        <v>95</v>
      </c>
      <c r="G12" s="2" t="s">
        <v>113</v>
      </c>
    </row>
    <row r="13" spans="1:7" s="21" customFormat="1" x14ac:dyDescent="0.25">
      <c r="A13" s="2">
        <v>16561</v>
      </c>
      <c r="B13" s="1" t="s">
        <v>36</v>
      </c>
      <c r="C13" s="2" t="s">
        <v>366</v>
      </c>
      <c r="D13" s="1" t="s">
        <v>116</v>
      </c>
      <c r="E13" s="1" t="s">
        <v>75</v>
      </c>
      <c r="F13" s="1" t="s">
        <v>96</v>
      </c>
      <c r="G13" s="2"/>
    </row>
    <row r="14" spans="1:7" s="21" customFormat="1" x14ac:dyDescent="0.25">
      <c r="A14" s="4">
        <v>16562</v>
      </c>
      <c r="B14" s="6" t="s">
        <v>123</v>
      </c>
      <c r="C14" s="4"/>
      <c r="D14" s="6"/>
      <c r="E14" s="6"/>
      <c r="F14" s="6"/>
      <c r="G14" s="4"/>
    </row>
    <row r="15" spans="1:7" s="21" customFormat="1" x14ac:dyDescent="0.25">
      <c r="A15" s="2">
        <v>16563</v>
      </c>
      <c r="B15" s="1" t="s">
        <v>37</v>
      </c>
      <c r="C15" s="2" t="s">
        <v>367</v>
      </c>
      <c r="D15" s="1" t="s">
        <v>116</v>
      </c>
      <c r="E15" s="1" t="s">
        <v>76</v>
      </c>
      <c r="F15" s="1" t="s">
        <v>97</v>
      </c>
      <c r="G15" s="2" t="s">
        <v>114</v>
      </c>
    </row>
    <row r="16" spans="1:7" s="21" customFormat="1" x14ac:dyDescent="0.25">
      <c r="A16" s="2">
        <v>16564</v>
      </c>
      <c r="B16" s="1" t="s">
        <v>38</v>
      </c>
      <c r="C16" s="103" t="s">
        <v>370</v>
      </c>
      <c r="D16" s="1" t="s">
        <v>116</v>
      </c>
      <c r="E16" s="1"/>
      <c r="F16" s="1" t="s">
        <v>98</v>
      </c>
      <c r="G16" s="2"/>
    </row>
    <row r="17" spans="1:7" s="21" customFormat="1" x14ac:dyDescent="0.25">
      <c r="A17" s="2">
        <v>16565</v>
      </c>
      <c r="B17" s="1" t="s">
        <v>39</v>
      </c>
      <c r="C17" s="103" t="s">
        <v>370</v>
      </c>
      <c r="D17" s="1" t="s">
        <v>116</v>
      </c>
      <c r="E17" s="1"/>
      <c r="F17" s="1" t="s">
        <v>99</v>
      </c>
      <c r="G17" s="2"/>
    </row>
    <row r="18" spans="1:7" s="21" customFormat="1" x14ac:dyDescent="0.25">
      <c r="A18" s="2">
        <v>16566</v>
      </c>
      <c r="B18" s="1" t="s">
        <v>40</v>
      </c>
      <c r="C18" s="103" t="s">
        <v>370</v>
      </c>
      <c r="D18" s="1" t="s">
        <v>116</v>
      </c>
      <c r="E18" s="1"/>
      <c r="F18" s="1" t="s">
        <v>100</v>
      </c>
      <c r="G18" s="2"/>
    </row>
    <row r="19" spans="1:7" s="21" customFormat="1" x14ac:dyDescent="0.25">
      <c r="A19" s="4">
        <v>16567</v>
      </c>
      <c r="B19" s="6" t="s">
        <v>123</v>
      </c>
      <c r="C19" s="4"/>
      <c r="D19" s="6"/>
      <c r="E19" s="6"/>
      <c r="F19" s="6"/>
      <c r="G19" s="4"/>
    </row>
    <row r="20" spans="1:7" x14ac:dyDescent="0.25">
      <c r="A20" s="2">
        <v>16568</v>
      </c>
      <c r="B20" s="1" t="s">
        <v>41</v>
      </c>
      <c r="C20" s="103" t="s">
        <v>370</v>
      </c>
      <c r="D20" s="1" t="s">
        <v>116</v>
      </c>
      <c r="E20" s="1" t="s">
        <v>77</v>
      </c>
      <c r="F20" s="1" t="s">
        <v>101</v>
      </c>
      <c r="G20" s="2"/>
    </row>
    <row r="21" spans="1:7" x14ac:dyDescent="0.25">
      <c r="A21" s="2">
        <v>16569</v>
      </c>
      <c r="B21" s="1" t="s">
        <v>42</v>
      </c>
      <c r="C21" s="103" t="s">
        <v>370</v>
      </c>
      <c r="D21" s="1" t="s">
        <v>116</v>
      </c>
      <c r="E21" s="1" t="s">
        <v>78</v>
      </c>
      <c r="F21" s="1" t="s">
        <v>102</v>
      </c>
      <c r="G21" s="2"/>
    </row>
    <row r="22" spans="1:7" x14ac:dyDescent="0.25">
      <c r="A22" s="2">
        <v>16570</v>
      </c>
      <c r="B22" s="1" t="s">
        <v>43</v>
      </c>
      <c r="C22" s="2" t="s">
        <v>366</v>
      </c>
      <c r="D22" s="1" t="s">
        <v>116</v>
      </c>
      <c r="E22" s="1" t="s">
        <v>79</v>
      </c>
      <c r="F22" s="1" t="s">
        <v>103</v>
      </c>
      <c r="G22" s="2"/>
    </row>
    <row r="23" spans="1:7" x14ac:dyDescent="0.25">
      <c r="A23" s="2">
        <v>16571</v>
      </c>
      <c r="B23" s="1" t="s">
        <v>44</v>
      </c>
      <c r="C23" s="103" t="s">
        <v>370</v>
      </c>
      <c r="D23" s="1" t="s">
        <v>116</v>
      </c>
      <c r="E23" s="1"/>
      <c r="F23" s="1"/>
      <c r="G23" s="2"/>
    </row>
    <row r="24" spans="1:7" x14ac:dyDescent="0.25">
      <c r="A24" s="2">
        <v>16572</v>
      </c>
      <c r="B24" s="1" t="s">
        <v>45</v>
      </c>
      <c r="C24" s="103" t="s">
        <v>370</v>
      </c>
      <c r="D24" s="1" t="s">
        <v>116</v>
      </c>
      <c r="E24" s="1" t="s">
        <v>82</v>
      </c>
      <c r="F24" s="1" t="s">
        <v>104</v>
      </c>
      <c r="G24" s="2"/>
    </row>
    <row r="25" spans="1:7" x14ac:dyDescent="0.25">
      <c r="A25" s="2">
        <v>16573</v>
      </c>
      <c r="B25" s="1" t="s">
        <v>46</v>
      </c>
      <c r="C25" s="103" t="s">
        <v>370</v>
      </c>
      <c r="D25" s="1" t="s">
        <v>116</v>
      </c>
      <c r="E25" s="1" t="s">
        <v>81</v>
      </c>
      <c r="F25" s="1" t="s">
        <v>105</v>
      </c>
      <c r="G25" s="2"/>
    </row>
    <row r="26" spans="1:7" x14ac:dyDescent="0.25">
      <c r="A26" s="2">
        <v>16574</v>
      </c>
      <c r="B26" s="1" t="s">
        <v>47</v>
      </c>
      <c r="C26" s="103" t="s">
        <v>370</v>
      </c>
      <c r="D26" s="1" t="s">
        <v>116</v>
      </c>
      <c r="E26" s="1" t="s">
        <v>83</v>
      </c>
      <c r="F26" s="1" t="s">
        <v>106</v>
      </c>
      <c r="G26" s="2"/>
    </row>
    <row r="27" spans="1:7" x14ac:dyDescent="0.25">
      <c r="A27" s="2">
        <v>30033</v>
      </c>
      <c r="B27" s="1" t="s">
        <v>51</v>
      </c>
      <c r="C27" s="103" t="s">
        <v>370</v>
      </c>
      <c r="D27" s="1" t="s">
        <v>116</v>
      </c>
      <c r="E27" s="1"/>
      <c r="F27" s="1"/>
      <c r="G27" s="2"/>
    </row>
    <row r="28" spans="1:7" x14ac:dyDescent="0.25">
      <c r="A28" s="2">
        <v>40742</v>
      </c>
      <c r="B28" s="1" t="s">
        <v>54</v>
      </c>
      <c r="C28" s="103" t="s">
        <v>370</v>
      </c>
      <c r="D28" s="1" t="s">
        <v>116</v>
      </c>
      <c r="E28" s="1"/>
      <c r="F28" s="1"/>
      <c r="G28" s="2"/>
    </row>
    <row r="29" spans="1:7" x14ac:dyDescent="0.25">
      <c r="A29" s="2">
        <v>40743</v>
      </c>
      <c r="B29" s="1" t="s">
        <v>61</v>
      </c>
      <c r="C29" s="2" t="s">
        <v>368</v>
      </c>
      <c r="D29" s="1" t="s">
        <v>116</v>
      </c>
      <c r="E29" s="1" t="s">
        <v>80</v>
      </c>
      <c r="F29" s="1" t="s">
        <v>107</v>
      </c>
      <c r="G29" s="2"/>
    </row>
  </sheetData>
  <pageMargins left="0.7" right="0.7" top="0.75" bottom="0.75" header="0.3" footer="0.3"/>
  <drawing r:id="rId1"/>
  <tableParts count="1">
    <tablePart r:id="rId2"/>
  </tableParts>
  <extLst>
    <ext xmlns:x15="http://schemas.microsoft.com/office/spreadsheetml/2010/11/main" uri="{3A4CF648-6AED-40f4-86FF-DC5316D8AED3}">
      <x14:slicerList xmlns:x14="http://schemas.microsoft.com/office/spreadsheetml/2009/9/main">
        <x14:slicer r:id="rId3"/>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524FDA-BB26-4FBB-86D0-B62F4398F5A7}">
  <dimension ref="A1:O44"/>
  <sheetViews>
    <sheetView zoomScale="85" zoomScaleNormal="85" workbookViewId="0"/>
  </sheetViews>
  <sheetFormatPr defaultRowHeight="15" x14ac:dyDescent="0.25"/>
  <cols>
    <col min="1" max="1" width="14.42578125" customWidth="1"/>
    <col min="2" max="2" width="27.5703125" bestFit="1" customWidth="1"/>
    <col min="3" max="3" width="23" bestFit="1" customWidth="1"/>
  </cols>
  <sheetData>
    <row r="1" spans="1:15" x14ac:dyDescent="0.25">
      <c r="A1" t="s">
        <v>22</v>
      </c>
      <c r="B1" t="s">
        <v>21</v>
      </c>
      <c r="C1" t="s">
        <v>371</v>
      </c>
    </row>
    <row r="2" spans="1:15" x14ac:dyDescent="0.25">
      <c r="A2" s="103">
        <v>52018</v>
      </c>
      <c r="B2" s="1" t="s">
        <v>58</v>
      </c>
      <c r="C2" s="10">
        <v>27535</v>
      </c>
    </row>
    <row r="3" spans="1:15" x14ac:dyDescent="0.25">
      <c r="A3" s="103">
        <v>52021</v>
      </c>
      <c r="B3" s="15" t="s">
        <v>59</v>
      </c>
      <c r="C3" s="10">
        <v>20003</v>
      </c>
    </row>
    <row r="4" spans="1:15" x14ac:dyDescent="0.25">
      <c r="A4" s="103">
        <v>16552</v>
      </c>
      <c r="B4" s="1" t="s">
        <v>27</v>
      </c>
      <c r="C4" s="10">
        <v>12460</v>
      </c>
      <c r="F4" s="300" t="s">
        <v>394</v>
      </c>
      <c r="G4" s="300"/>
      <c r="H4" s="300"/>
      <c r="I4" s="300"/>
      <c r="J4" s="300"/>
      <c r="K4" s="300"/>
      <c r="L4" s="300"/>
      <c r="M4" s="300"/>
      <c r="N4" s="300"/>
      <c r="O4" s="300"/>
    </row>
    <row r="5" spans="1:15" x14ac:dyDescent="0.25">
      <c r="A5" s="103">
        <v>16553</v>
      </c>
      <c r="B5" s="1" t="s">
        <v>28</v>
      </c>
      <c r="C5" s="10">
        <v>23035</v>
      </c>
      <c r="F5" s="300"/>
      <c r="G5" s="300"/>
      <c r="H5" s="300"/>
      <c r="I5" s="300"/>
      <c r="J5" s="300"/>
      <c r="K5" s="300"/>
      <c r="L5" s="300"/>
      <c r="M5" s="300"/>
      <c r="N5" s="300"/>
      <c r="O5" s="300"/>
    </row>
    <row r="6" spans="1:15" x14ac:dyDescent="0.25">
      <c r="A6" s="103">
        <v>16554</v>
      </c>
      <c r="B6" s="1" t="s">
        <v>29</v>
      </c>
      <c r="C6" s="10">
        <v>25571</v>
      </c>
      <c r="F6" s="300"/>
      <c r="G6" s="300"/>
      <c r="H6" s="300"/>
      <c r="I6" s="300"/>
      <c r="J6" s="300"/>
      <c r="K6" s="300"/>
      <c r="L6" s="300"/>
      <c r="M6" s="300"/>
      <c r="N6" s="300"/>
      <c r="O6" s="300"/>
    </row>
    <row r="7" spans="1:15" x14ac:dyDescent="0.25">
      <c r="A7" s="103">
        <v>16555</v>
      </c>
      <c r="B7" s="1" t="s">
        <v>30</v>
      </c>
      <c r="C7" s="10">
        <v>14126</v>
      </c>
      <c r="F7" s="300"/>
      <c r="G7" s="300"/>
      <c r="H7" s="300"/>
      <c r="I7" s="300"/>
      <c r="J7" s="300"/>
      <c r="K7" s="300"/>
      <c r="L7" s="300"/>
      <c r="M7" s="300"/>
      <c r="N7" s="300"/>
      <c r="O7" s="300"/>
    </row>
    <row r="8" spans="1:15" s="21" customFormat="1" x14ac:dyDescent="0.25">
      <c r="A8" s="17">
        <v>16556</v>
      </c>
      <c r="B8" s="18" t="s">
        <v>123</v>
      </c>
      <c r="C8" s="19"/>
    </row>
    <row r="9" spans="1:15" s="21" customFormat="1" x14ac:dyDescent="0.25">
      <c r="A9" s="103">
        <v>16557</v>
      </c>
      <c r="B9" s="1" t="s">
        <v>32</v>
      </c>
      <c r="C9" s="10">
        <v>26127</v>
      </c>
    </row>
    <row r="10" spans="1:15" s="21" customFormat="1" x14ac:dyDescent="0.25">
      <c r="A10" s="103">
        <v>16558</v>
      </c>
      <c r="B10" s="1" t="s">
        <v>33</v>
      </c>
      <c r="C10" s="10">
        <v>12259</v>
      </c>
    </row>
    <row r="11" spans="1:15" s="21" customFormat="1" x14ac:dyDescent="0.25">
      <c r="A11" s="103">
        <v>16559</v>
      </c>
      <c r="B11" s="1" t="s">
        <v>34</v>
      </c>
      <c r="C11" s="10">
        <v>19734</v>
      </c>
    </row>
    <row r="12" spans="1:15" s="21" customFormat="1" x14ac:dyDescent="0.25">
      <c r="A12" s="103">
        <v>16560</v>
      </c>
      <c r="B12" s="1" t="s">
        <v>35</v>
      </c>
      <c r="C12" s="10">
        <v>19480</v>
      </c>
    </row>
    <row r="13" spans="1:15" s="21" customFormat="1" x14ac:dyDescent="0.25">
      <c r="A13" s="103">
        <v>16561</v>
      </c>
      <c r="B13" s="1" t="s">
        <v>36</v>
      </c>
      <c r="C13" s="10">
        <v>19679</v>
      </c>
    </row>
    <row r="14" spans="1:15" s="21" customFormat="1" x14ac:dyDescent="0.25">
      <c r="A14" s="17">
        <v>16562</v>
      </c>
      <c r="B14" s="18" t="s">
        <v>123</v>
      </c>
      <c r="C14" s="19"/>
    </row>
    <row r="15" spans="1:15" s="21" customFormat="1" x14ac:dyDescent="0.25">
      <c r="A15" s="103">
        <v>16563</v>
      </c>
      <c r="B15" s="1" t="s">
        <v>37</v>
      </c>
      <c r="C15" s="10">
        <v>21928</v>
      </c>
    </row>
    <row r="16" spans="1:15" s="21" customFormat="1" x14ac:dyDescent="0.25">
      <c r="A16" s="103">
        <v>16564</v>
      </c>
      <c r="B16" s="1" t="s">
        <v>38</v>
      </c>
      <c r="C16" s="10">
        <v>15916</v>
      </c>
    </row>
    <row r="17" spans="1:3" s="21" customFormat="1" x14ac:dyDescent="0.25">
      <c r="A17" s="103">
        <v>16565</v>
      </c>
      <c r="B17" s="1" t="s">
        <v>39</v>
      </c>
      <c r="C17" s="10">
        <v>19531</v>
      </c>
    </row>
    <row r="18" spans="1:3" s="21" customFormat="1" x14ac:dyDescent="0.25">
      <c r="A18" s="103">
        <v>16566</v>
      </c>
      <c r="B18" s="1" t="s">
        <v>40</v>
      </c>
      <c r="C18" s="10">
        <v>18224</v>
      </c>
    </row>
    <row r="19" spans="1:3" s="21" customFormat="1" x14ac:dyDescent="0.25">
      <c r="A19" s="17">
        <v>16567</v>
      </c>
      <c r="B19" s="18" t="s">
        <v>123</v>
      </c>
      <c r="C19" s="19"/>
    </row>
    <row r="20" spans="1:3" x14ac:dyDescent="0.25">
      <c r="A20" s="103">
        <v>16568</v>
      </c>
      <c r="B20" s="1" t="s">
        <v>41</v>
      </c>
      <c r="C20" s="10">
        <v>18521</v>
      </c>
    </row>
    <row r="21" spans="1:3" x14ac:dyDescent="0.25">
      <c r="A21" s="103">
        <v>16569</v>
      </c>
      <c r="B21" s="1" t="s">
        <v>42</v>
      </c>
      <c r="C21" s="10">
        <v>28563</v>
      </c>
    </row>
    <row r="22" spans="1:3" x14ac:dyDescent="0.25">
      <c r="A22" s="103">
        <v>16570</v>
      </c>
      <c r="B22" s="1" t="s">
        <v>43</v>
      </c>
      <c r="C22" s="10">
        <v>21172</v>
      </c>
    </row>
    <row r="23" spans="1:3" x14ac:dyDescent="0.25">
      <c r="A23" s="103">
        <v>16571</v>
      </c>
      <c r="B23" s="1" t="s">
        <v>44</v>
      </c>
      <c r="C23" s="10">
        <v>15197</v>
      </c>
    </row>
    <row r="24" spans="1:3" x14ac:dyDescent="0.25">
      <c r="A24" s="103">
        <v>16572</v>
      </c>
      <c r="B24" s="1" t="s">
        <v>45</v>
      </c>
      <c r="C24" s="10">
        <v>15119</v>
      </c>
    </row>
    <row r="25" spans="1:3" x14ac:dyDescent="0.25">
      <c r="A25" s="103">
        <v>16573</v>
      </c>
      <c r="B25" s="1" t="s">
        <v>46</v>
      </c>
      <c r="C25" s="10">
        <v>14436</v>
      </c>
    </row>
    <row r="26" spans="1:3" x14ac:dyDescent="0.25">
      <c r="A26" s="103">
        <v>16574</v>
      </c>
      <c r="B26" s="1" t="s">
        <v>47</v>
      </c>
      <c r="C26" s="10">
        <v>12546</v>
      </c>
    </row>
    <row r="27" spans="1:3" x14ac:dyDescent="0.25">
      <c r="A27" s="103">
        <v>30033</v>
      </c>
      <c r="B27" s="1" t="s">
        <v>51</v>
      </c>
      <c r="C27" s="10">
        <v>22361</v>
      </c>
    </row>
    <row r="28" spans="1:3" x14ac:dyDescent="0.25">
      <c r="A28" s="103">
        <v>40742</v>
      </c>
      <c r="B28" s="1" t="s">
        <v>54</v>
      </c>
      <c r="C28" s="192">
        <v>17081</v>
      </c>
    </row>
    <row r="29" spans="1:3" x14ac:dyDescent="0.25">
      <c r="A29" s="103">
        <v>40743</v>
      </c>
      <c r="B29" s="1" t="s">
        <v>61</v>
      </c>
      <c r="C29" s="10">
        <v>24579</v>
      </c>
    </row>
    <row r="32" spans="1:3" x14ac:dyDescent="0.25">
      <c r="B32" s="110"/>
      <c r="C32" s="110"/>
    </row>
    <row r="33" spans="2:3" x14ac:dyDescent="0.25">
      <c r="B33" s="110"/>
      <c r="C33" s="110"/>
    </row>
    <row r="34" spans="2:3" x14ac:dyDescent="0.25">
      <c r="B34" s="110"/>
      <c r="C34" s="110"/>
    </row>
    <row r="35" spans="2:3" x14ac:dyDescent="0.25">
      <c r="B35" s="110"/>
      <c r="C35" s="110"/>
    </row>
    <row r="36" spans="2:3" x14ac:dyDescent="0.25">
      <c r="B36" s="110"/>
      <c r="C36" s="110"/>
    </row>
    <row r="37" spans="2:3" x14ac:dyDescent="0.25">
      <c r="B37" s="110"/>
      <c r="C37" s="110"/>
    </row>
    <row r="38" spans="2:3" x14ac:dyDescent="0.25">
      <c r="B38" s="110"/>
      <c r="C38" s="110"/>
    </row>
    <row r="39" spans="2:3" x14ac:dyDescent="0.25">
      <c r="B39" s="110"/>
      <c r="C39" s="110"/>
    </row>
    <row r="40" spans="2:3" x14ac:dyDescent="0.25">
      <c r="B40" s="110"/>
      <c r="C40" s="110"/>
    </row>
    <row r="41" spans="2:3" x14ac:dyDescent="0.25">
      <c r="B41" s="110"/>
      <c r="C41" s="110"/>
    </row>
    <row r="42" spans="2:3" x14ac:dyDescent="0.25">
      <c r="B42" s="110"/>
      <c r="C42" s="110"/>
    </row>
    <row r="43" spans="2:3" x14ac:dyDescent="0.25">
      <c r="B43" s="110"/>
      <c r="C43" s="110"/>
    </row>
    <row r="44" spans="2:3" x14ac:dyDescent="0.25">
      <c r="B44" s="110"/>
      <c r="C44" s="110"/>
    </row>
  </sheetData>
  <mergeCells count="1">
    <mergeCell ref="F4:O7"/>
  </mergeCells>
  <pageMargins left="0.7" right="0.7" top="0.75" bottom="0.75" header="0.3" footer="0.3"/>
  <pageSetup orientation="portrait" horizontalDpi="300" verticalDpi="0"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536ACC-4C5F-4E7A-8F0B-3D09D9B4F494}">
  <sheetPr codeName="Sheet5"/>
  <dimension ref="A1:X45"/>
  <sheetViews>
    <sheetView zoomScale="85" zoomScaleNormal="85" workbookViewId="0"/>
  </sheetViews>
  <sheetFormatPr defaultRowHeight="15" x14ac:dyDescent="0.25"/>
  <cols>
    <col min="1" max="1" width="14.42578125" customWidth="1"/>
    <col min="2" max="2" width="27.5703125" bestFit="1" customWidth="1"/>
    <col min="3" max="3" width="23" bestFit="1" customWidth="1"/>
    <col min="4" max="4" width="17" bestFit="1" customWidth="1"/>
    <col min="5" max="5" width="13.42578125" bestFit="1" customWidth="1"/>
    <col min="6" max="6" width="23" bestFit="1" customWidth="1"/>
    <col min="7" max="7" width="19.5703125" customWidth="1"/>
    <col min="8" max="8" width="22.28515625" bestFit="1" customWidth="1"/>
    <col min="9" max="9" width="18.7109375" bestFit="1" customWidth="1"/>
    <col min="10" max="10" width="14.28515625" bestFit="1" customWidth="1"/>
    <col min="23" max="23" width="12.140625" bestFit="1" customWidth="1"/>
    <col min="24" max="24" width="12.5703125" bestFit="1" customWidth="1"/>
  </cols>
  <sheetData>
    <row r="1" spans="1:24" x14ac:dyDescent="0.25">
      <c r="A1" t="s">
        <v>22</v>
      </c>
      <c r="B1" t="s">
        <v>21</v>
      </c>
      <c r="C1" s="195" t="s">
        <v>371</v>
      </c>
      <c r="D1" s="14" t="s">
        <v>124</v>
      </c>
      <c r="E1" t="s">
        <v>118</v>
      </c>
      <c r="F1" s="14" t="s">
        <v>125</v>
      </c>
      <c r="G1" t="s">
        <v>120</v>
      </c>
      <c r="H1" s="14" t="s">
        <v>126</v>
      </c>
      <c r="I1" t="s">
        <v>119</v>
      </c>
      <c r="J1" s="194" t="s">
        <v>372</v>
      </c>
    </row>
    <row r="2" spans="1:24" x14ac:dyDescent="0.25">
      <c r="A2" s="2">
        <v>52018</v>
      </c>
      <c r="B2" s="1" t="s">
        <v>58</v>
      </c>
      <c r="C2" s="10">
        <f>Employee_Basic_Salary[[#This Row],[Employee Basic Salary]]</f>
        <v>27535</v>
      </c>
      <c r="D2" s="12">
        <v>0.4</v>
      </c>
      <c r="E2" s="10">
        <f t="shared" ref="E2:E7" si="0">C2*D2</f>
        <v>11014</v>
      </c>
      <c r="F2" s="12">
        <v>0.02</v>
      </c>
      <c r="G2" s="10">
        <f t="shared" ref="G2:G29" si="1">C2*F2</f>
        <v>550.70000000000005</v>
      </c>
      <c r="H2" s="12">
        <v>0.15</v>
      </c>
      <c r="I2" s="10">
        <f t="shared" ref="I2:I29" si="2">C2*H2</f>
        <v>4130.25</v>
      </c>
      <c r="J2" s="196">
        <f>SUM(Employee_Gross_Salary[[#This Row],[Employee Basic Salary]]+Employee_Gross_Salary[[#This Row],[House Rent]]+Employee_Gross_Salary[[#This Row],[Special Allowance]]+Employee_Gross_Salary[[#This Row],[Health Assurance]])</f>
        <v>43229.95</v>
      </c>
    </row>
    <row r="3" spans="1:24" x14ac:dyDescent="0.25">
      <c r="A3" s="2">
        <v>52021</v>
      </c>
      <c r="B3" s="15" t="s">
        <v>59</v>
      </c>
      <c r="C3" s="10">
        <f>Employee_Basic_Salary[[#This Row],[Employee Basic Salary]]</f>
        <v>20003</v>
      </c>
      <c r="D3" s="13">
        <v>0.4</v>
      </c>
      <c r="E3" s="10">
        <f t="shared" si="0"/>
        <v>8001.2000000000007</v>
      </c>
      <c r="F3" s="13">
        <v>0.02</v>
      </c>
      <c r="G3" s="10">
        <f t="shared" si="1"/>
        <v>400.06</v>
      </c>
      <c r="H3" s="13">
        <v>0.15</v>
      </c>
      <c r="I3" s="10">
        <f t="shared" si="2"/>
        <v>3000.45</v>
      </c>
      <c r="J3" s="197">
        <f>SUM(Employee_Gross_Salary[[#This Row],[Employee Basic Salary]]+Employee_Gross_Salary[[#This Row],[House Rent]]+Employee_Gross_Salary[[#This Row],[Special Allowance]]+Employee_Gross_Salary[[#This Row],[Health Assurance]])</f>
        <v>31404.710000000003</v>
      </c>
    </row>
    <row r="4" spans="1:24" x14ac:dyDescent="0.25">
      <c r="A4" s="2">
        <v>16552</v>
      </c>
      <c r="B4" s="1" t="s">
        <v>27</v>
      </c>
      <c r="C4" s="10">
        <f>Employee_Basic_Salary[[#This Row],[Employee Basic Salary]]</f>
        <v>12460</v>
      </c>
      <c r="D4" s="12">
        <v>0.4</v>
      </c>
      <c r="E4" s="10">
        <f t="shared" si="0"/>
        <v>4984</v>
      </c>
      <c r="F4" s="12">
        <v>0.02</v>
      </c>
      <c r="G4" s="10">
        <f t="shared" si="1"/>
        <v>249.20000000000002</v>
      </c>
      <c r="H4" s="12">
        <v>0.15</v>
      </c>
      <c r="I4" s="10">
        <f t="shared" si="2"/>
        <v>1869</v>
      </c>
      <c r="J4" s="196">
        <f>SUM(Employee_Gross_Salary[[#This Row],[Employee Basic Salary]]+Employee_Gross_Salary[[#This Row],[House Rent]]+Employee_Gross_Salary[[#This Row],[Special Allowance]]+Employee_Gross_Salary[[#This Row],[Health Assurance]])</f>
        <v>19562.2</v>
      </c>
    </row>
    <row r="5" spans="1:24" x14ac:dyDescent="0.25">
      <c r="A5" s="2">
        <v>16553</v>
      </c>
      <c r="B5" s="1" t="s">
        <v>28</v>
      </c>
      <c r="C5" s="10">
        <f>Employee_Basic_Salary[[#This Row],[Employee Basic Salary]]</f>
        <v>23035</v>
      </c>
      <c r="D5" s="13">
        <v>0.4</v>
      </c>
      <c r="E5" s="10">
        <f t="shared" si="0"/>
        <v>9214</v>
      </c>
      <c r="F5" s="13">
        <v>0.02</v>
      </c>
      <c r="G5" s="10">
        <f t="shared" si="1"/>
        <v>460.7</v>
      </c>
      <c r="H5" s="13">
        <v>0.15</v>
      </c>
      <c r="I5" s="10">
        <f t="shared" si="2"/>
        <v>3455.25</v>
      </c>
      <c r="J5" s="197">
        <f>SUM(Employee_Gross_Salary[[#This Row],[Employee Basic Salary]]+Employee_Gross_Salary[[#This Row],[House Rent]]+Employee_Gross_Salary[[#This Row],[Special Allowance]]+Employee_Gross_Salary[[#This Row],[Health Assurance]])</f>
        <v>36164.949999999997</v>
      </c>
    </row>
    <row r="6" spans="1:24" x14ac:dyDescent="0.25">
      <c r="A6" s="2">
        <v>16554</v>
      </c>
      <c r="B6" s="1" t="s">
        <v>29</v>
      </c>
      <c r="C6" s="10">
        <f>Employee_Basic_Salary[[#This Row],[Employee Basic Salary]]</f>
        <v>25571</v>
      </c>
      <c r="D6" s="12">
        <v>0.4</v>
      </c>
      <c r="E6" s="10">
        <f t="shared" si="0"/>
        <v>10228.400000000001</v>
      </c>
      <c r="F6" s="12">
        <v>0.02</v>
      </c>
      <c r="G6" s="10">
        <f t="shared" si="1"/>
        <v>511.42</v>
      </c>
      <c r="H6" s="12">
        <v>0.15</v>
      </c>
      <c r="I6" s="10">
        <f t="shared" si="2"/>
        <v>3835.6499999999996</v>
      </c>
      <c r="J6" s="196">
        <f>SUM(Employee_Gross_Salary[[#This Row],[Employee Basic Salary]]+Employee_Gross_Salary[[#This Row],[House Rent]]+Employee_Gross_Salary[[#This Row],[Special Allowance]]+Employee_Gross_Salary[[#This Row],[Health Assurance]])</f>
        <v>40146.47</v>
      </c>
    </row>
    <row r="7" spans="1:24" x14ac:dyDescent="0.25">
      <c r="A7" s="2">
        <v>16555</v>
      </c>
      <c r="B7" s="1" t="s">
        <v>30</v>
      </c>
      <c r="C7" s="10">
        <f>Employee_Basic_Salary[[#This Row],[Employee Basic Salary]]</f>
        <v>14126</v>
      </c>
      <c r="D7" s="13">
        <v>0.4</v>
      </c>
      <c r="E7" s="10">
        <f t="shared" si="0"/>
        <v>5650.4000000000005</v>
      </c>
      <c r="F7" s="13">
        <v>0.02</v>
      </c>
      <c r="G7" s="10">
        <f t="shared" si="1"/>
        <v>282.52</v>
      </c>
      <c r="H7" s="13">
        <v>0.15</v>
      </c>
      <c r="I7" s="10">
        <f t="shared" si="2"/>
        <v>2118.9</v>
      </c>
      <c r="J7" s="197">
        <f>SUM(Employee_Gross_Salary[[#This Row],[Employee Basic Salary]]+Employee_Gross_Salary[[#This Row],[House Rent]]+Employee_Gross_Salary[[#This Row],[Special Allowance]]+Employee_Gross_Salary[[#This Row],[Health Assurance]])</f>
        <v>22177.820000000003</v>
      </c>
    </row>
    <row r="8" spans="1:24" s="21" customFormat="1" x14ac:dyDescent="0.25">
      <c r="A8" s="4">
        <v>16556</v>
      </c>
      <c r="B8" s="6" t="s">
        <v>123</v>
      </c>
      <c r="C8" s="11"/>
      <c r="D8" s="193"/>
      <c r="E8" s="11"/>
      <c r="F8" s="193"/>
      <c r="G8" s="11"/>
      <c r="H8" s="193"/>
      <c r="I8" s="11"/>
      <c r="J8" s="193"/>
    </row>
    <row r="9" spans="1:24" s="21" customFormat="1" x14ac:dyDescent="0.25">
      <c r="A9" s="2">
        <v>16557</v>
      </c>
      <c r="B9" s="1" t="s">
        <v>32</v>
      </c>
      <c r="C9" s="10">
        <f>Employee_Basic_Salary[[#This Row],[Employee Basic Salary]]</f>
        <v>26127</v>
      </c>
      <c r="D9" s="13">
        <v>0.4</v>
      </c>
      <c r="E9" s="10">
        <f>C9*D9</f>
        <v>10450.800000000001</v>
      </c>
      <c r="F9" s="13">
        <v>0.02</v>
      </c>
      <c r="G9" s="10">
        <f t="shared" si="1"/>
        <v>522.54</v>
      </c>
      <c r="H9" s="13">
        <v>0.15</v>
      </c>
      <c r="I9" s="10">
        <f t="shared" si="2"/>
        <v>3919.0499999999997</v>
      </c>
      <c r="J9" s="197">
        <f>SUM(Employee_Gross_Salary[[#This Row],[Employee Basic Salary]]+Employee_Gross_Salary[[#This Row],[House Rent]]+Employee_Gross_Salary[[#This Row],[Special Allowance]]+Employee_Gross_Salary[[#This Row],[Health Assurance]])</f>
        <v>41019.390000000007</v>
      </c>
    </row>
    <row r="10" spans="1:24" s="21" customFormat="1" x14ac:dyDescent="0.25">
      <c r="A10" s="2">
        <v>16558</v>
      </c>
      <c r="B10" s="1" t="s">
        <v>33</v>
      </c>
      <c r="C10" s="10">
        <f>Employee_Basic_Salary[[#This Row],[Employee Basic Salary]]</f>
        <v>12259</v>
      </c>
      <c r="D10" s="12">
        <v>0.4</v>
      </c>
      <c r="E10" s="10">
        <f t="shared" ref="E10:E29" si="3">C10*D10</f>
        <v>4903.6000000000004</v>
      </c>
      <c r="F10" s="12">
        <v>0.02</v>
      </c>
      <c r="G10" s="10">
        <f>C10*F10</f>
        <v>245.18</v>
      </c>
      <c r="H10" s="12">
        <v>0.15</v>
      </c>
      <c r="I10" s="10">
        <f t="shared" si="2"/>
        <v>1838.85</v>
      </c>
      <c r="J10" s="196">
        <f>SUM(Employee_Gross_Salary[[#This Row],[Employee Basic Salary]]+Employee_Gross_Salary[[#This Row],[House Rent]]+Employee_Gross_Salary[[#This Row],[Special Allowance]]+Employee_Gross_Salary[[#This Row],[Health Assurance]])</f>
        <v>19246.629999999997</v>
      </c>
    </row>
    <row r="11" spans="1:24" s="21" customFormat="1" x14ac:dyDescent="0.25">
      <c r="A11" s="2">
        <v>16559</v>
      </c>
      <c r="B11" s="1" t="s">
        <v>34</v>
      </c>
      <c r="C11" s="10">
        <f>Employee_Basic_Salary[[#This Row],[Employee Basic Salary]]</f>
        <v>19734</v>
      </c>
      <c r="D11" s="13">
        <v>0.4</v>
      </c>
      <c r="E11" s="10">
        <f t="shared" si="3"/>
        <v>7893.6</v>
      </c>
      <c r="F11" s="13">
        <v>0.02</v>
      </c>
      <c r="G11" s="10">
        <f>C11*F11</f>
        <v>394.68</v>
      </c>
      <c r="H11" s="13">
        <v>0.15</v>
      </c>
      <c r="I11" s="10">
        <f t="shared" si="2"/>
        <v>2960.1</v>
      </c>
      <c r="J11" s="197">
        <f>SUM(Employee_Gross_Salary[[#This Row],[Employee Basic Salary]]+Employee_Gross_Salary[[#This Row],[House Rent]]+Employee_Gross_Salary[[#This Row],[Special Allowance]]+Employee_Gross_Salary[[#This Row],[Health Assurance]])</f>
        <v>30982.379999999997</v>
      </c>
    </row>
    <row r="12" spans="1:24" s="21" customFormat="1" x14ac:dyDescent="0.25">
      <c r="A12" s="2">
        <v>16560</v>
      </c>
      <c r="B12" s="1" t="s">
        <v>35</v>
      </c>
      <c r="C12" s="10">
        <f>Employee_Basic_Salary[[#This Row],[Employee Basic Salary]]</f>
        <v>19480</v>
      </c>
      <c r="D12" s="12">
        <v>0.4</v>
      </c>
      <c r="E12" s="10">
        <f t="shared" si="3"/>
        <v>7792</v>
      </c>
      <c r="F12" s="12">
        <v>0.02</v>
      </c>
      <c r="G12" s="10">
        <f>C12*F12</f>
        <v>389.6</v>
      </c>
      <c r="H12" s="12">
        <v>0.15</v>
      </c>
      <c r="I12" s="10">
        <f t="shared" si="2"/>
        <v>2922</v>
      </c>
      <c r="J12" s="196">
        <f>SUM(Employee_Gross_Salary[[#This Row],[Employee Basic Salary]]+Employee_Gross_Salary[[#This Row],[House Rent]]+Employee_Gross_Salary[[#This Row],[Special Allowance]]+Employee_Gross_Salary[[#This Row],[Health Assurance]])</f>
        <v>30583.599999999999</v>
      </c>
    </row>
    <row r="13" spans="1:24" s="21" customFormat="1" x14ac:dyDescent="0.25">
      <c r="A13" s="2">
        <v>16561</v>
      </c>
      <c r="B13" s="1" t="s">
        <v>36</v>
      </c>
      <c r="C13" s="10">
        <f>Employee_Basic_Salary[[#This Row],[Employee Basic Salary]]</f>
        <v>19679</v>
      </c>
      <c r="D13" s="13">
        <v>0.4</v>
      </c>
      <c r="E13" s="10">
        <f t="shared" si="3"/>
        <v>7871.6</v>
      </c>
      <c r="F13" s="13">
        <v>0.02</v>
      </c>
      <c r="G13" s="10">
        <f t="shared" si="1"/>
        <v>393.58</v>
      </c>
      <c r="H13" s="13">
        <v>0.15</v>
      </c>
      <c r="I13" s="10">
        <f t="shared" si="2"/>
        <v>2951.85</v>
      </c>
      <c r="J13" s="197">
        <f>SUM(Employee_Gross_Salary[[#This Row],[Employee Basic Salary]]+Employee_Gross_Salary[[#This Row],[House Rent]]+Employee_Gross_Salary[[#This Row],[Special Allowance]]+Employee_Gross_Salary[[#This Row],[Health Assurance]])</f>
        <v>30896.03</v>
      </c>
      <c r="W13" s="206"/>
      <c r="X13" s="206"/>
    </row>
    <row r="14" spans="1:24" s="21" customFormat="1" x14ac:dyDescent="0.25">
      <c r="A14" s="17">
        <v>16562</v>
      </c>
      <c r="B14" s="18" t="s">
        <v>123</v>
      </c>
      <c r="C14" s="19"/>
      <c r="D14" s="16"/>
      <c r="E14" s="19"/>
      <c r="F14" s="16"/>
      <c r="G14" s="19"/>
      <c r="H14" s="16"/>
      <c r="I14" s="19"/>
      <c r="J14" s="19"/>
    </row>
    <row r="15" spans="1:24" s="21" customFormat="1" x14ac:dyDescent="0.25">
      <c r="A15" s="2">
        <v>16563</v>
      </c>
      <c r="B15" s="1" t="s">
        <v>37</v>
      </c>
      <c r="C15" s="10">
        <f>Employee_Basic_Salary[[#This Row],[Employee Basic Salary]]</f>
        <v>21928</v>
      </c>
      <c r="D15" s="13">
        <v>0.4</v>
      </c>
      <c r="E15" s="10">
        <f t="shared" si="3"/>
        <v>8771.2000000000007</v>
      </c>
      <c r="F15" s="13">
        <v>0.02</v>
      </c>
      <c r="G15" s="10">
        <f t="shared" si="1"/>
        <v>438.56</v>
      </c>
      <c r="H15" s="13">
        <v>0.15</v>
      </c>
      <c r="I15" s="10">
        <f t="shared" si="2"/>
        <v>3289.2</v>
      </c>
      <c r="J15" s="197">
        <f>SUM(Employee_Gross_Salary[[#This Row],[Employee Basic Salary]]+Employee_Gross_Salary[[#This Row],[House Rent]]+Employee_Gross_Salary[[#This Row],[Special Allowance]]+Employee_Gross_Salary[[#This Row],[Health Assurance]])</f>
        <v>34426.959999999999</v>
      </c>
    </row>
    <row r="16" spans="1:24" s="21" customFormat="1" x14ac:dyDescent="0.25">
      <c r="A16" s="2">
        <v>16564</v>
      </c>
      <c r="B16" s="1" t="s">
        <v>38</v>
      </c>
      <c r="C16" s="10">
        <f>Employee_Basic_Salary[[#This Row],[Employee Basic Salary]]</f>
        <v>15916</v>
      </c>
      <c r="D16" s="12">
        <v>0.4</v>
      </c>
      <c r="E16" s="10">
        <f t="shared" si="3"/>
        <v>6366.4000000000005</v>
      </c>
      <c r="F16" s="12">
        <v>0.02</v>
      </c>
      <c r="G16" s="10">
        <f t="shared" si="1"/>
        <v>318.32</v>
      </c>
      <c r="H16" s="12">
        <v>0.15</v>
      </c>
      <c r="I16" s="10">
        <f t="shared" si="2"/>
        <v>2387.4</v>
      </c>
      <c r="J16" s="196">
        <f>SUM(Employee_Gross_Salary[[#This Row],[Employee Basic Salary]]+Employee_Gross_Salary[[#This Row],[House Rent]]+Employee_Gross_Salary[[#This Row],[Special Allowance]]+Employee_Gross_Salary[[#This Row],[Health Assurance]])</f>
        <v>24988.120000000003</v>
      </c>
    </row>
    <row r="17" spans="1:10" s="21" customFormat="1" x14ac:dyDescent="0.25">
      <c r="A17" s="2">
        <v>16565</v>
      </c>
      <c r="B17" s="1" t="s">
        <v>39</v>
      </c>
      <c r="C17" s="10">
        <f>Employee_Basic_Salary[[#This Row],[Employee Basic Salary]]</f>
        <v>19531</v>
      </c>
      <c r="D17" s="13">
        <v>0.4</v>
      </c>
      <c r="E17" s="10">
        <f t="shared" si="3"/>
        <v>7812.4000000000005</v>
      </c>
      <c r="F17" s="13">
        <v>0.02</v>
      </c>
      <c r="G17" s="10">
        <f t="shared" si="1"/>
        <v>390.62</v>
      </c>
      <c r="H17" s="13">
        <v>0.15</v>
      </c>
      <c r="I17" s="10">
        <f t="shared" si="2"/>
        <v>2929.65</v>
      </c>
      <c r="J17" s="197">
        <f>SUM(Employee_Gross_Salary[[#This Row],[Employee Basic Salary]]+Employee_Gross_Salary[[#This Row],[House Rent]]+Employee_Gross_Salary[[#This Row],[Special Allowance]]+Employee_Gross_Salary[[#This Row],[Health Assurance]])</f>
        <v>30663.670000000002</v>
      </c>
    </row>
    <row r="18" spans="1:10" s="21" customFormat="1" x14ac:dyDescent="0.25">
      <c r="A18" s="2">
        <v>16566</v>
      </c>
      <c r="B18" s="1" t="s">
        <v>40</v>
      </c>
      <c r="C18" s="10">
        <f>Employee_Basic_Salary[[#This Row],[Employee Basic Salary]]</f>
        <v>18224</v>
      </c>
      <c r="D18" s="12">
        <v>0.4</v>
      </c>
      <c r="E18" s="10">
        <f t="shared" si="3"/>
        <v>7289.6</v>
      </c>
      <c r="F18" s="12">
        <v>0.02</v>
      </c>
      <c r="G18" s="10">
        <f t="shared" si="1"/>
        <v>364.48</v>
      </c>
      <c r="H18" s="12">
        <v>0.15</v>
      </c>
      <c r="I18" s="10">
        <f t="shared" si="2"/>
        <v>2733.6</v>
      </c>
      <c r="J18" s="196">
        <f>SUM(Employee_Gross_Salary[[#This Row],[Employee Basic Salary]]+Employee_Gross_Salary[[#This Row],[House Rent]]+Employee_Gross_Salary[[#This Row],[Special Allowance]]+Employee_Gross_Salary[[#This Row],[Health Assurance]])</f>
        <v>28611.679999999997</v>
      </c>
    </row>
    <row r="19" spans="1:10" s="21" customFormat="1" x14ac:dyDescent="0.25">
      <c r="A19" s="17">
        <v>16567</v>
      </c>
      <c r="B19" s="18" t="s">
        <v>123</v>
      </c>
      <c r="C19" s="19"/>
      <c r="D19" s="16"/>
      <c r="E19" s="19"/>
      <c r="F19" s="16"/>
      <c r="G19" s="19"/>
      <c r="H19" s="16"/>
      <c r="I19" s="19"/>
      <c r="J19" s="19"/>
    </row>
    <row r="20" spans="1:10" x14ac:dyDescent="0.25">
      <c r="A20" s="2">
        <v>16568</v>
      </c>
      <c r="B20" s="1" t="s">
        <v>41</v>
      </c>
      <c r="C20" s="10">
        <f>Employee_Basic_Salary[[#This Row],[Employee Basic Salary]]</f>
        <v>18521</v>
      </c>
      <c r="D20" s="12">
        <v>0.4</v>
      </c>
      <c r="E20" s="10">
        <f t="shared" si="3"/>
        <v>7408.4000000000005</v>
      </c>
      <c r="F20" s="12">
        <v>0.02</v>
      </c>
      <c r="G20" s="10">
        <f t="shared" si="1"/>
        <v>370.42</v>
      </c>
      <c r="H20" s="12">
        <v>0.15</v>
      </c>
      <c r="I20" s="10">
        <f t="shared" si="2"/>
        <v>2778.15</v>
      </c>
      <c r="J20" s="196">
        <f>SUM(Employee_Gross_Salary[[#This Row],[Employee Basic Salary]]+Employee_Gross_Salary[[#This Row],[House Rent]]+Employee_Gross_Salary[[#This Row],[Special Allowance]]+Employee_Gross_Salary[[#This Row],[Health Assurance]])</f>
        <v>29077.97</v>
      </c>
    </row>
    <row r="21" spans="1:10" x14ac:dyDescent="0.25">
      <c r="A21" s="2">
        <v>16569</v>
      </c>
      <c r="B21" s="1" t="s">
        <v>42</v>
      </c>
      <c r="C21" s="10">
        <f>Employee_Basic_Salary[[#This Row],[Employee Basic Salary]]</f>
        <v>28563</v>
      </c>
      <c r="D21" s="13">
        <v>0.4</v>
      </c>
      <c r="E21" s="10">
        <f t="shared" si="3"/>
        <v>11425.2</v>
      </c>
      <c r="F21" s="13">
        <v>0.02</v>
      </c>
      <c r="G21" s="10">
        <f t="shared" si="1"/>
        <v>571.26</v>
      </c>
      <c r="H21" s="13">
        <v>0.15</v>
      </c>
      <c r="I21" s="10">
        <f t="shared" si="2"/>
        <v>4284.45</v>
      </c>
      <c r="J21" s="197">
        <f>SUM(Employee_Gross_Salary[[#This Row],[Employee Basic Salary]]+Employee_Gross_Salary[[#This Row],[House Rent]]+Employee_Gross_Salary[[#This Row],[Special Allowance]]+Employee_Gross_Salary[[#This Row],[Health Assurance]])</f>
        <v>44843.909999999996</v>
      </c>
    </row>
    <row r="22" spans="1:10" x14ac:dyDescent="0.25">
      <c r="A22" s="2">
        <v>16570</v>
      </c>
      <c r="B22" s="1" t="s">
        <v>43</v>
      </c>
      <c r="C22" s="10">
        <f>Employee_Basic_Salary[[#This Row],[Employee Basic Salary]]</f>
        <v>21172</v>
      </c>
      <c r="D22" s="12">
        <v>0.4</v>
      </c>
      <c r="E22" s="10">
        <f t="shared" si="3"/>
        <v>8468.8000000000011</v>
      </c>
      <c r="F22" s="12">
        <v>0.02</v>
      </c>
      <c r="G22" s="10">
        <f t="shared" si="1"/>
        <v>423.44</v>
      </c>
      <c r="H22" s="12">
        <v>0.15</v>
      </c>
      <c r="I22" s="10">
        <f t="shared" si="2"/>
        <v>3175.7999999999997</v>
      </c>
      <c r="J22" s="196">
        <f>SUM(Employee_Gross_Salary[[#This Row],[Employee Basic Salary]]+Employee_Gross_Salary[[#This Row],[House Rent]]+Employee_Gross_Salary[[#This Row],[Special Allowance]]+Employee_Gross_Salary[[#This Row],[Health Assurance]])</f>
        <v>33240.04</v>
      </c>
    </row>
    <row r="23" spans="1:10" x14ac:dyDescent="0.25">
      <c r="A23" s="2">
        <v>16571</v>
      </c>
      <c r="B23" s="1" t="s">
        <v>44</v>
      </c>
      <c r="C23" s="10">
        <f>Employee_Basic_Salary[[#This Row],[Employee Basic Salary]]</f>
        <v>15197</v>
      </c>
      <c r="D23" s="13">
        <v>0.4</v>
      </c>
      <c r="E23" s="10">
        <f t="shared" si="3"/>
        <v>6078.8</v>
      </c>
      <c r="F23" s="13">
        <v>0.02</v>
      </c>
      <c r="G23" s="10">
        <f t="shared" si="1"/>
        <v>303.94</v>
      </c>
      <c r="H23" s="13">
        <v>0.15</v>
      </c>
      <c r="I23" s="10">
        <f t="shared" si="2"/>
        <v>2279.5499999999997</v>
      </c>
      <c r="J23" s="197">
        <f>SUM(Employee_Gross_Salary[[#This Row],[Employee Basic Salary]]+Employee_Gross_Salary[[#This Row],[House Rent]]+Employee_Gross_Salary[[#This Row],[Special Allowance]]+Employee_Gross_Salary[[#This Row],[Health Assurance]])</f>
        <v>23859.289999999997</v>
      </c>
    </row>
    <row r="24" spans="1:10" x14ac:dyDescent="0.25">
      <c r="A24" s="2">
        <v>16572</v>
      </c>
      <c r="B24" s="1" t="s">
        <v>45</v>
      </c>
      <c r="C24" s="10">
        <f>Employee_Basic_Salary[[#This Row],[Employee Basic Salary]]</f>
        <v>15119</v>
      </c>
      <c r="D24" s="12">
        <v>0.4</v>
      </c>
      <c r="E24" s="10">
        <f t="shared" si="3"/>
        <v>6047.6</v>
      </c>
      <c r="F24" s="12">
        <v>0.02</v>
      </c>
      <c r="G24" s="10">
        <f t="shared" si="1"/>
        <v>302.38</v>
      </c>
      <c r="H24" s="12">
        <v>0.15</v>
      </c>
      <c r="I24" s="10">
        <f t="shared" si="2"/>
        <v>2267.85</v>
      </c>
      <c r="J24" s="196">
        <f>SUM(Employee_Gross_Salary[[#This Row],[Employee Basic Salary]]+Employee_Gross_Salary[[#This Row],[House Rent]]+Employee_Gross_Salary[[#This Row],[Special Allowance]]+Employee_Gross_Salary[[#This Row],[Health Assurance]])</f>
        <v>23736.829999999998</v>
      </c>
    </row>
    <row r="25" spans="1:10" x14ac:dyDescent="0.25">
      <c r="A25" s="2">
        <v>16573</v>
      </c>
      <c r="B25" s="1" t="s">
        <v>46</v>
      </c>
      <c r="C25" s="10">
        <f>Employee_Basic_Salary[[#This Row],[Employee Basic Salary]]</f>
        <v>14436</v>
      </c>
      <c r="D25" s="13">
        <v>0.4</v>
      </c>
      <c r="E25" s="10">
        <f t="shared" si="3"/>
        <v>5774.4000000000005</v>
      </c>
      <c r="F25" s="13">
        <v>0.02</v>
      </c>
      <c r="G25" s="10">
        <f t="shared" si="1"/>
        <v>288.72000000000003</v>
      </c>
      <c r="H25" s="13">
        <v>0.15</v>
      </c>
      <c r="I25" s="10">
        <f t="shared" si="2"/>
        <v>2165.4</v>
      </c>
      <c r="J25" s="197">
        <f>SUM(Employee_Gross_Salary[[#This Row],[Employee Basic Salary]]+Employee_Gross_Salary[[#This Row],[House Rent]]+Employee_Gross_Salary[[#This Row],[Special Allowance]]+Employee_Gross_Salary[[#This Row],[Health Assurance]])</f>
        <v>22664.520000000004</v>
      </c>
    </row>
    <row r="26" spans="1:10" x14ac:dyDescent="0.25">
      <c r="A26" s="2">
        <v>16574</v>
      </c>
      <c r="B26" s="1" t="s">
        <v>47</v>
      </c>
      <c r="C26" s="10">
        <f>Employee_Basic_Salary[[#This Row],[Employee Basic Salary]]</f>
        <v>12546</v>
      </c>
      <c r="D26" s="12">
        <v>0.4</v>
      </c>
      <c r="E26" s="10">
        <f t="shared" si="3"/>
        <v>5018.4000000000005</v>
      </c>
      <c r="F26" s="12">
        <v>0.02</v>
      </c>
      <c r="G26" s="10">
        <f t="shared" si="1"/>
        <v>250.92000000000002</v>
      </c>
      <c r="H26" s="12">
        <v>0.15</v>
      </c>
      <c r="I26" s="10">
        <f t="shared" si="2"/>
        <v>1881.8999999999999</v>
      </c>
      <c r="J26" s="196">
        <f>SUM(Employee_Gross_Salary[[#This Row],[Employee Basic Salary]]+Employee_Gross_Salary[[#This Row],[House Rent]]+Employee_Gross_Salary[[#This Row],[Special Allowance]]+Employee_Gross_Salary[[#This Row],[Health Assurance]])</f>
        <v>19697.22</v>
      </c>
    </row>
    <row r="27" spans="1:10" x14ac:dyDescent="0.25">
      <c r="A27" s="2">
        <v>30033</v>
      </c>
      <c r="B27" s="1" t="s">
        <v>51</v>
      </c>
      <c r="C27" s="10">
        <f>Employee_Basic_Salary[[#This Row],[Employee Basic Salary]]</f>
        <v>22361</v>
      </c>
      <c r="D27" s="13">
        <v>0.4</v>
      </c>
      <c r="E27" s="10">
        <f t="shared" si="3"/>
        <v>8944.4</v>
      </c>
      <c r="F27" s="13">
        <v>0.02</v>
      </c>
      <c r="G27" s="10">
        <f t="shared" si="1"/>
        <v>447.22</v>
      </c>
      <c r="H27" s="13">
        <v>0.15</v>
      </c>
      <c r="I27" s="10">
        <f t="shared" si="2"/>
        <v>3354.15</v>
      </c>
      <c r="J27" s="197">
        <f>SUM(Employee_Gross_Salary[[#This Row],[Employee Basic Salary]]+Employee_Gross_Salary[[#This Row],[House Rent]]+Employee_Gross_Salary[[#This Row],[Special Allowance]]+Employee_Gross_Salary[[#This Row],[Health Assurance]])</f>
        <v>35106.770000000004</v>
      </c>
    </row>
    <row r="28" spans="1:10" x14ac:dyDescent="0.25">
      <c r="A28" s="2">
        <v>40742</v>
      </c>
      <c r="B28" s="1" t="s">
        <v>54</v>
      </c>
      <c r="C28" s="10">
        <f>Employee_Basic_Salary[[#This Row],[Employee Basic Salary]]</f>
        <v>17081</v>
      </c>
      <c r="D28" s="12">
        <v>0.4</v>
      </c>
      <c r="E28" s="10">
        <f t="shared" si="3"/>
        <v>6832.4000000000005</v>
      </c>
      <c r="F28" s="12">
        <v>0.02</v>
      </c>
      <c r="G28" s="10">
        <f t="shared" si="1"/>
        <v>341.62</v>
      </c>
      <c r="H28" s="12">
        <v>0.15</v>
      </c>
      <c r="I28" s="10">
        <f t="shared" si="2"/>
        <v>2562.15</v>
      </c>
      <c r="J28" s="196">
        <f>SUM(Employee_Gross_Salary[[#This Row],[Employee Basic Salary]]+Employee_Gross_Salary[[#This Row],[House Rent]]+Employee_Gross_Salary[[#This Row],[Special Allowance]]+Employee_Gross_Salary[[#This Row],[Health Assurance]])</f>
        <v>26817.170000000002</v>
      </c>
    </row>
    <row r="29" spans="1:10" x14ac:dyDescent="0.25">
      <c r="A29" s="2">
        <v>40743</v>
      </c>
      <c r="B29" s="1" t="s">
        <v>61</v>
      </c>
      <c r="C29" s="10">
        <f>Employee_Basic_Salary[[#This Row],[Employee Basic Salary]]</f>
        <v>24579</v>
      </c>
      <c r="D29" s="13">
        <v>0.4</v>
      </c>
      <c r="E29" s="10">
        <f t="shared" si="3"/>
        <v>9831.6</v>
      </c>
      <c r="F29" s="13">
        <v>0.02</v>
      </c>
      <c r="G29" s="10">
        <f t="shared" si="1"/>
        <v>491.58</v>
      </c>
      <c r="H29" s="13">
        <v>0.15</v>
      </c>
      <c r="I29" s="10">
        <f t="shared" si="2"/>
        <v>3686.85</v>
      </c>
      <c r="J29" s="197">
        <f>SUM(Employee_Gross_Salary[[#This Row],[Employee Basic Salary]]+Employee_Gross_Salary[[#This Row],[House Rent]]+Employee_Gross_Salary[[#This Row],[Special Allowance]]+Employee_Gross_Salary[[#This Row],[Health Assurance]])</f>
        <v>38589.03</v>
      </c>
    </row>
    <row r="32" spans="1:10" x14ac:dyDescent="0.25">
      <c r="I32" s="191"/>
    </row>
    <row r="33" spans="4:9" ht="15" customHeight="1" x14ac:dyDescent="0.25">
      <c r="D33" s="301" t="s">
        <v>395</v>
      </c>
      <c r="E33" s="301"/>
      <c r="F33" s="301"/>
      <c r="G33" s="301"/>
      <c r="H33" s="301"/>
      <c r="I33" s="301"/>
    </row>
    <row r="34" spans="4:9" ht="15" customHeight="1" x14ac:dyDescent="0.25">
      <c r="D34" s="301"/>
      <c r="E34" s="301"/>
      <c r="F34" s="301"/>
      <c r="G34" s="301"/>
      <c r="H34" s="301"/>
      <c r="I34" s="301"/>
    </row>
    <row r="35" spans="4:9" ht="15" customHeight="1" x14ac:dyDescent="0.25">
      <c r="D35" s="301"/>
      <c r="E35" s="301"/>
      <c r="F35" s="301"/>
      <c r="G35" s="301"/>
      <c r="H35" s="301"/>
      <c r="I35" s="301"/>
    </row>
    <row r="36" spans="4:9" x14ac:dyDescent="0.25">
      <c r="D36" s="301"/>
      <c r="E36" s="301"/>
      <c r="F36" s="301"/>
      <c r="G36" s="301"/>
      <c r="H36" s="301"/>
      <c r="I36" s="301"/>
    </row>
    <row r="37" spans="4:9" x14ac:dyDescent="0.25">
      <c r="I37" s="190"/>
    </row>
    <row r="38" spans="4:9" x14ac:dyDescent="0.25">
      <c r="I38" s="190"/>
    </row>
    <row r="39" spans="4:9" x14ac:dyDescent="0.25">
      <c r="I39" s="190"/>
    </row>
    <row r="40" spans="4:9" x14ac:dyDescent="0.25">
      <c r="I40" s="190"/>
    </row>
    <row r="41" spans="4:9" x14ac:dyDescent="0.25">
      <c r="I41" s="190"/>
    </row>
    <row r="42" spans="4:9" x14ac:dyDescent="0.25">
      <c r="I42" s="190"/>
    </row>
    <row r="43" spans="4:9" x14ac:dyDescent="0.25">
      <c r="I43" s="190"/>
    </row>
    <row r="44" spans="4:9" x14ac:dyDescent="0.25">
      <c r="I44" s="110"/>
    </row>
    <row r="45" spans="4:9" x14ac:dyDescent="0.25">
      <c r="I45" s="110"/>
    </row>
  </sheetData>
  <mergeCells count="1">
    <mergeCell ref="D33:I36"/>
  </mergeCells>
  <pageMargins left="0.7" right="0.7" top="0.75" bottom="0.75" header="0.3" footer="0.3"/>
  <pageSetup orientation="portrait" horizontalDpi="300" verticalDpi="0"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50A22D-4563-4427-AA46-2306F0450C95}">
  <sheetPr codeName="Sheet6"/>
  <dimension ref="A1:J36"/>
  <sheetViews>
    <sheetView zoomScale="85" zoomScaleNormal="85" workbookViewId="0"/>
  </sheetViews>
  <sheetFormatPr defaultRowHeight="15" x14ac:dyDescent="0.25"/>
  <cols>
    <col min="1" max="1" width="14.42578125" bestFit="1" customWidth="1"/>
    <col min="2" max="2" width="27.5703125" bestFit="1" customWidth="1"/>
    <col min="3" max="3" width="14.28515625" bestFit="1" customWidth="1"/>
    <col min="4" max="4" width="20.5703125" bestFit="1" customWidth="1"/>
    <col min="5" max="6" width="17" bestFit="1" customWidth="1"/>
    <col min="7" max="7" width="13.42578125" bestFit="1" customWidth="1"/>
    <col min="8" max="8" width="21.42578125" bestFit="1" customWidth="1"/>
    <col min="9" max="9" width="17.85546875" bestFit="1" customWidth="1"/>
    <col min="10" max="10" width="12.5703125" bestFit="1" customWidth="1"/>
  </cols>
  <sheetData>
    <row r="1" spans="1:10" x14ac:dyDescent="0.25">
      <c r="A1" t="s">
        <v>22</v>
      </c>
      <c r="B1" t="s">
        <v>21</v>
      </c>
      <c r="C1" s="196" t="s">
        <v>372</v>
      </c>
      <c r="D1" s="22" t="s">
        <v>127</v>
      </c>
      <c r="E1" s="22" t="s">
        <v>121</v>
      </c>
      <c r="F1" s="22" t="s">
        <v>128</v>
      </c>
      <c r="G1" s="22" t="s">
        <v>122</v>
      </c>
      <c r="H1" s="22" t="s">
        <v>130</v>
      </c>
      <c r="I1" s="22" t="s">
        <v>129</v>
      </c>
      <c r="J1" s="196" t="s">
        <v>131</v>
      </c>
    </row>
    <row r="2" spans="1:10" x14ac:dyDescent="0.25">
      <c r="A2" s="2">
        <v>52018</v>
      </c>
      <c r="B2" s="1" t="s">
        <v>58</v>
      </c>
      <c r="C2" s="196">
        <f>Employee_Gross_Salary[[#This Row],[Gross Salary]]</f>
        <v>43229.95</v>
      </c>
      <c r="D2" s="200">
        <v>1.4999999999999999E-2</v>
      </c>
      <c r="E2" s="23">
        <f>Employee_Net_Salary[[#This Row],[Gross Salary]]*Employee_Net_Salary[[#This Row],[Provident Fund (%)]]</f>
        <v>648.44924999999989</v>
      </c>
      <c r="F2" s="202">
        <v>0.02</v>
      </c>
      <c r="G2" s="23">
        <f>Employee_Net_Salary[[#This Row],[Gross Salary]]*Employee_Net_Salary[[#This Row],[Income Tax (%)]]</f>
        <v>864.59899999999993</v>
      </c>
      <c r="H2" s="200">
        <v>2.5000000000000001E-2</v>
      </c>
      <c r="I2" s="23">
        <f>Employee_Net_Salary[[#This Row],[Gross Salary]]*Employee_Net_Salary[[#This Row],[Professional Tax (%)]]</f>
        <v>1080.74875</v>
      </c>
      <c r="J2" s="196">
        <f>Employee_Net_Salary[[#This Row],[Gross Salary]]-SUM(E2,G2,I2)</f>
        <v>40636.152999999998</v>
      </c>
    </row>
    <row r="3" spans="1:10" x14ac:dyDescent="0.25">
      <c r="A3" s="2">
        <v>52021</v>
      </c>
      <c r="B3" s="15" t="s">
        <v>59</v>
      </c>
      <c r="C3" s="197">
        <f>Employee_Gross_Salary[[#This Row],[Gross Salary]]</f>
        <v>31404.710000000003</v>
      </c>
      <c r="D3" s="201">
        <v>1.4999999999999999E-2</v>
      </c>
      <c r="E3" s="10">
        <f>Employee_Net_Salary[[#This Row],[Gross Salary]]*Employee_Net_Salary[[#This Row],[Provident Fund (%)]]</f>
        <v>471.07065</v>
      </c>
      <c r="F3" s="203">
        <v>0.02</v>
      </c>
      <c r="G3" s="10">
        <f>Employee_Net_Salary[[#This Row],[Gross Salary]]*Employee_Net_Salary[[#This Row],[Income Tax (%)]]</f>
        <v>628.09420000000011</v>
      </c>
      <c r="H3" s="201">
        <v>2.5000000000000001E-2</v>
      </c>
      <c r="I3" s="10">
        <f>Employee_Net_Salary[[#This Row],[Gross Salary]]*Employee_Net_Salary[[#This Row],[Professional Tax (%)]]</f>
        <v>785.11775000000011</v>
      </c>
      <c r="J3" s="197">
        <f>Employee_Net_Salary[[#This Row],[Gross Salary]]-SUM(E3,G3,I3)</f>
        <v>29520.427400000004</v>
      </c>
    </row>
    <row r="4" spans="1:10" x14ac:dyDescent="0.25">
      <c r="A4" s="2">
        <v>16552</v>
      </c>
      <c r="B4" s="1" t="s">
        <v>27</v>
      </c>
      <c r="C4" s="196">
        <f>Employee_Gross_Salary[[#This Row],[Gross Salary]]</f>
        <v>19562.2</v>
      </c>
      <c r="D4" s="200">
        <v>1.4999999999999999E-2</v>
      </c>
      <c r="E4" s="23">
        <f>Employee_Net_Salary[[#This Row],[Gross Salary]]*Employee_Net_Salary[[#This Row],[Provident Fund (%)]]</f>
        <v>293.43299999999999</v>
      </c>
      <c r="F4" s="202">
        <v>0.02</v>
      </c>
      <c r="G4" s="23">
        <f>Employee_Net_Salary[[#This Row],[Gross Salary]]*Employee_Net_Salary[[#This Row],[Income Tax (%)]]</f>
        <v>391.24400000000003</v>
      </c>
      <c r="H4" s="200">
        <v>2.5000000000000001E-2</v>
      </c>
      <c r="I4" s="23">
        <f>Employee_Net_Salary[[#This Row],[Gross Salary]]*Employee_Net_Salary[[#This Row],[Professional Tax (%)]]</f>
        <v>489.05500000000006</v>
      </c>
      <c r="J4" s="196">
        <f>Employee_Net_Salary[[#This Row],[Gross Salary]]-SUM(E4,G4,I4)</f>
        <v>18388.468000000001</v>
      </c>
    </row>
    <row r="5" spans="1:10" x14ac:dyDescent="0.25">
      <c r="A5" s="2">
        <v>16553</v>
      </c>
      <c r="B5" s="1" t="s">
        <v>28</v>
      </c>
      <c r="C5" s="197">
        <f>Employee_Gross_Salary[[#This Row],[Gross Salary]]</f>
        <v>36164.949999999997</v>
      </c>
      <c r="D5" s="201">
        <v>1.4999999999999999E-2</v>
      </c>
      <c r="E5" s="10">
        <f>Employee_Net_Salary[[#This Row],[Gross Salary]]*Employee_Net_Salary[[#This Row],[Provident Fund (%)]]</f>
        <v>542.47424999999998</v>
      </c>
      <c r="F5" s="203">
        <v>0.02</v>
      </c>
      <c r="G5" s="10">
        <f>Employee_Net_Salary[[#This Row],[Gross Salary]]*Employee_Net_Salary[[#This Row],[Income Tax (%)]]</f>
        <v>723.29899999999998</v>
      </c>
      <c r="H5" s="201">
        <v>2.5000000000000001E-2</v>
      </c>
      <c r="I5" s="10">
        <f>Employee_Net_Salary[[#This Row],[Gross Salary]]*Employee_Net_Salary[[#This Row],[Professional Tax (%)]]</f>
        <v>904.12374999999997</v>
      </c>
      <c r="J5" s="197">
        <f>Employee_Net_Salary[[#This Row],[Gross Salary]]-SUM(E5,G5,I5)</f>
        <v>33995.053</v>
      </c>
    </row>
    <row r="6" spans="1:10" x14ac:dyDescent="0.25">
      <c r="A6" s="2">
        <v>16554</v>
      </c>
      <c r="B6" s="1" t="s">
        <v>29</v>
      </c>
      <c r="C6" s="196">
        <f>Employee_Gross_Salary[[#This Row],[Gross Salary]]</f>
        <v>40146.47</v>
      </c>
      <c r="D6" s="200">
        <v>1.4999999999999999E-2</v>
      </c>
      <c r="E6" s="23">
        <f>Employee_Net_Salary[[#This Row],[Gross Salary]]*Employee_Net_Salary[[#This Row],[Provident Fund (%)]]</f>
        <v>602.19704999999999</v>
      </c>
      <c r="F6" s="202">
        <v>0.02</v>
      </c>
      <c r="G6" s="23">
        <f>Employee_Net_Salary[[#This Row],[Gross Salary]]*Employee_Net_Salary[[#This Row],[Income Tax (%)]]</f>
        <v>802.92939999999999</v>
      </c>
      <c r="H6" s="200">
        <v>2.5000000000000001E-2</v>
      </c>
      <c r="I6" s="23">
        <f>Employee_Net_Salary[[#This Row],[Gross Salary]]*Employee_Net_Salary[[#This Row],[Professional Tax (%)]]</f>
        <v>1003.6617500000001</v>
      </c>
      <c r="J6" s="196">
        <f>Employee_Net_Salary[[#This Row],[Gross Salary]]-SUM(E6,G6,I6)</f>
        <v>37737.681799999998</v>
      </c>
    </row>
    <row r="7" spans="1:10" x14ac:dyDescent="0.25">
      <c r="A7" s="2">
        <v>16555</v>
      </c>
      <c r="B7" s="1" t="s">
        <v>30</v>
      </c>
      <c r="C7" s="197">
        <f>Employee_Gross_Salary[[#This Row],[Gross Salary]]</f>
        <v>22177.820000000003</v>
      </c>
      <c r="D7" s="201">
        <v>1.4999999999999999E-2</v>
      </c>
      <c r="E7" s="10">
        <f>Employee_Net_Salary[[#This Row],[Gross Salary]]*Employee_Net_Salary[[#This Row],[Provident Fund (%)]]</f>
        <v>332.66730000000001</v>
      </c>
      <c r="F7" s="203">
        <v>0.02</v>
      </c>
      <c r="G7" s="10">
        <f>Employee_Net_Salary[[#This Row],[Gross Salary]]*Employee_Net_Salary[[#This Row],[Income Tax (%)]]</f>
        <v>443.55640000000005</v>
      </c>
      <c r="H7" s="201">
        <v>2.5000000000000001E-2</v>
      </c>
      <c r="I7" s="10">
        <f>Employee_Net_Salary[[#This Row],[Gross Salary]]*Employee_Net_Salary[[#This Row],[Professional Tax (%)]]</f>
        <v>554.44550000000015</v>
      </c>
      <c r="J7" s="197">
        <f>Employee_Net_Salary[[#This Row],[Gross Salary]]-SUM(E7,G7,I7)</f>
        <v>20847.150800000003</v>
      </c>
    </row>
    <row r="8" spans="1:10" s="21" customFormat="1" x14ac:dyDescent="0.25">
      <c r="A8" s="4">
        <v>16556</v>
      </c>
      <c r="B8" s="6" t="s">
        <v>123</v>
      </c>
      <c r="C8" s="198"/>
      <c r="D8" s="204"/>
      <c r="E8" s="11"/>
      <c r="F8" s="205"/>
      <c r="G8" s="11"/>
      <c r="H8" s="204"/>
      <c r="I8" s="11"/>
      <c r="J8" s="198"/>
    </row>
    <row r="9" spans="1:10" s="21" customFormat="1" x14ac:dyDescent="0.25">
      <c r="A9" s="2">
        <v>16557</v>
      </c>
      <c r="B9" s="1" t="s">
        <v>32</v>
      </c>
      <c r="C9" s="197">
        <f>Employee_Gross_Salary[[#This Row],[Gross Salary]]</f>
        <v>41019.390000000007</v>
      </c>
      <c r="D9" s="201">
        <v>1.4999999999999999E-2</v>
      </c>
      <c r="E9" s="10">
        <f>Employee_Net_Salary[[#This Row],[Gross Salary]]*Employee_Net_Salary[[#This Row],[Provident Fund (%)]]</f>
        <v>615.29085000000009</v>
      </c>
      <c r="F9" s="203">
        <v>0.02</v>
      </c>
      <c r="G9" s="10">
        <f>Employee_Net_Salary[[#This Row],[Gross Salary]]*Employee_Net_Salary[[#This Row],[Income Tax (%)]]</f>
        <v>820.3878000000002</v>
      </c>
      <c r="H9" s="201">
        <v>2.5000000000000001E-2</v>
      </c>
      <c r="I9" s="10">
        <f>Employee_Net_Salary[[#This Row],[Gross Salary]]*Employee_Net_Salary[[#This Row],[Professional Tax (%)]]</f>
        <v>1025.4847500000003</v>
      </c>
      <c r="J9" s="197">
        <f>Employee_Net_Salary[[#This Row],[Gross Salary]]-SUM(E9,G9,I9)</f>
        <v>38558.226600000009</v>
      </c>
    </row>
    <row r="10" spans="1:10" s="21" customFormat="1" x14ac:dyDescent="0.25">
      <c r="A10" s="2">
        <v>16558</v>
      </c>
      <c r="B10" s="1" t="s">
        <v>33</v>
      </c>
      <c r="C10" s="196">
        <f>Employee_Gross_Salary[[#This Row],[Gross Salary]]</f>
        <v>19246.629999999997</v>
      </c>
      <c r="D10" s="200">
        <v>1.4999999999999999E-2</v>
      </c>
      <c r="E10" s="23">
        <f>Employee_Net_Salary[[#This Row],[Gross Salary]]*Employee_Net_Salary[[#This Row],[Provident Fund (%)]]</f>
        <v>288.69944999999996</v>
      </c>
      <c r="F10" s="202">
        <v>0.02</v>
      </c>
      <c r="G10" s="23">
        <f>Employee_Net_Salary[[#This Row],[Gross Salary]]*Employee_Net_Salary[[#This Row],[Income Tax (%)]]</f>
        <v>384.93259999999998</v>
      </c>
      <c r="H10" s="200">
        <v>2.5000000000000001E-2</v>
      </c>
      <c r="I10" s="23">
        <f>Employee_Net_Salary[[#This Row],[Gross Salary]]*Employee_Net_Salary[[#This Row],[Professional Tax (%)]]</f>
        <v>481.16574999999995</v>
      </c>
      <c r="J10" s="196">
        <f>Employee_Net_Salary[[#This Row],[Gross Salary]]-SUM(E10,G10,I10)</f>
        <v>18091.832199999997</v>
      </c>
    </row>
    <row r="11" spans="1:10" s="21" customFormat="1" x14ac:dyDescent="0.25">
      <c r="A11" s="2">
        <v>16559</v>
      </c>
      <c r="B11" s="1" t="s">
        <v>34</v>
      </c>
      <c r="C11" s="197">
        <f>Employee_Gross_Salary[[#This Row],[Gross Salary]]</f>
        <v>30982.379999999997</v>
      </c>
      <c r="D11" s="201">
        <v>1.4999999999999999E-2</v>
      </c>
      <c r="E11" s="10">
        <f>Employee_Net_Salary[[#This Row],[Gross Salary]]*Employee_Net_Salary[[#This Row],[Provident Fund (%)]]</f>
        <v>464.73569999999995</v>
      </c>
      <c r="F11" s="203">
        <v>0.02</v>
      </c>
      <c r="G11" s="10">
        <f>Employee_Net_Salary[[#This Row],[Gross Salary]]*Employee_Net_Salary[[#This Row],[Income Tax (%)]]</f>
        <v>619.64760000000001</v>
      </c>
      <c r="H11" s="201">
        <v>2.5000000000000001E-2</v>
      </c>
      <c r="I11" s="10">
        <f>Employee_Net_Salary[[#This Row],[Gross Salary]]*Employee_Net_Salary[[#This Row],[Professional Tax (%)]]</f>
        <v>774.55949999999996</v>
      </c>
      <c r="J11" s="197">
        <f>Employee_Net_Salary[[#This Row],[Gross Salary]]-SUM(E11,G11,I11)</f>
        <v>29123.437199999997</v>
      </c>
    </row>
    <row r="12" spans="1:10" s="21" customFormat="1" x14ac:dyDescent="0.25">
      <c r="A12" s="2">
        <v>16560</v>
      </c>
      <c r="B12" s="1" t="s">
        <v>35</v>
      </c>
      <c r="C12" s="196">
        <f>Employee_Gross_Salary[[#This Row],[Gross Salary]]</f>
        <v>30583.599999999999</v>
      </c>
      <c r="D12" s="200">
        <v>1.4999999999999999E-2</v>
      </c>
      <c r="E12" s="23">
        <f>Employee_Net_Salary[[#This Row],[Gross Salary]]*Employee_Net_Salary[[#This Row],[Provident Fund (%)]]</f>
        <v>458.75399999999996</v>
      </c>
      <c r="F12" s="202">
        <v>0.02</v>
      </c>
      <c r="G12" s="23">
        <f>Employee_Net_Salary[[#This Row],[Gross Salary]]*Employee_Net_Salary[[#This Row],[Income Tax (%)]]</f>
        <v>611.67200000000003</v>
      </c>
      <c r="H12" s="200">
        <v>2.5000000000000001E-2</v>
      </c>
      <c r="I12" s="23">
        <f>Employee_Net_Salary[[#This Row],[Gross Salary]]*Employee_Net_Salary[[#This Row],[Professional Tax (%)]]</f>
        <v>764.59</v>
      </c>
      <c r="J12" s="196">
        <f>Employee_Net_Salary[[#This Row],[Gross Salary]]-SUM(E12,G12,I12)</f>
        <v>28748.583999999999</v>
      </c>
    </row>
    <row r="13" spans="1:10" s="21" customFormat="1" x14ac:dyDescent="0.25">
      <c r="A13" s="2">
        <v>16561</v>
      </c>
      <c r="B13" s="1" t="s">
        <v>36</v>
      </c>
      <c r="C13" s="197">
        <f>Employee_Gross_Salary[[#This Row],[Gross Salary]]</f>
        <v>30896.03</v>
      </c>
      <c r="D13" s="201">
        <v>1.4999999999999999E-2</v>
      </c>
      <c r="E13" s="10">
        <f>Employee_Net_Salary[[#This Row],[Gross Salary]]*Employee_Net_Salary[[#This Row],[Provident Fund (%)]]</f>
        <v>463.44044999999994</v>
      </c>
      <c r="F13" s="203">
        <v>0.02</v>
      </c>
      <c r="G13" s="10">
        <f>Employee_Net_Salary[[#This Row],[Gross Salary]]*Employee_Net_Salary[[#This Row],[Income Tax (%)]]</f>
        <v>617.92060000000004</v>
      </c>
      <c r="H13" s="201">
        <v>2.5000000000000001E-2</v>
      </c>
      <c r="I13" s="10">
        <f>Employee_Net_Salary[[#This Row],[Gross Salary]]*Employee_Net_Salary[[#This Row],[Professional Tax (%)]]</f>
        <v>772.40075000000002</v>
      </c>
      <c r="J13" s="197">
        <f>Employee_Net_Salary[[#This Row],[Gross Salary]]-SUM(E13,G13,I13)</f>
        <v>29042.268199999999</v>
      </c>
    </row>
    <row r="14" spans="1:10" s="21" customFormat="1" x14ac:dyDescent="0.25">
      <c r="A14" s="4">
        <v>16562</v>
      </c>
      <c r="B14" s="6" t="s">
        <v>123</v>
      </c>
      <c r="C14" s="198"/>
      <c r="D14" s="204"/>
      <c r="E14" s="11"/>
      <c r="F14" s="205"/>
      <c r="G14" s="11"/>
      <c r="H14" s="204"/>
      <c r="I14" s="11"/>
      <c r="J14" s="198"/>
    </row>
    <row r="15" spans="1:10" s="21" customFormat="1" x14ac:dyDescent="0.25">
      <c r="A15" s="2">
        <v>16563</v>
      </c>
      <c r="B15" s="1" t="s">
        <v>37</v>
      </c>
      <c r="C15" s="197">
        <f>Employee_Gross_Salary[[#This Row],[Gross Salary]]</f>
        <v>34426.959999999999</v>
      </c>
      <c r="D15" s="201">
        <v>1.4999999999999999E-2</v>
      </c>
      <c r="E15" s="10">
        <f>Employee_Net_Salary[[#This Row],[Gross Salary]]*Employee_Net_Salary[[#This Row],[Provident Fund (%)]]</f>
        <v>516.40440000000001</v>
      </c>
      <c r="F15" s="203">
        <v>0.02</v>
      </c>
      <c r="G15" s="10">
        <f>Employee_Net_Salary[[#This Row],[Gross Salary]]*Employee_Net_Salary[[#This Row],[Income Tax (%)]]</f>
        <v>688.53920000000005</v>
      </c>
      <c r="H15" s="201">
        <v>2.5000000000000001E-2</v>
      </c>
      <c r="I15" s="10">
        <f>Employee_Net_Salary[[#This Row],[Gross Salary]]*Employee_Net_Salary[[#This Row],[Professional Tax (%)]]</f>
        <v>860.67399999999998</v>
      </c>
      <c r="J15" s="197">
        <f>Employee_Net_Salary[[#This Row],[Gross Salary]]-SUM(E15,G15,I15)</f>
        <v>32361.342399999998</v>
      </c>
    </row>
    <row r="16" spans="1:10" s="21" customFormat="1" x14ac:dyDescent="0.25">
      <c r="A16" s="2">
        <v>16564</v>
      </c>
      <c r="B16" s="1" t="s">
        <v>38</v>
      </c>
      <c r="C16" s="196">
        <f>Employee_Gross_Salary[[#This Row],[Gross Salary]]</f>
        <v>24988.120000000003</v>
      </c>
      <c r="D16" s="200">
        <v>1.4999999999999999E-2</v>
      </c>
      <c r="E16" s="23">
        <f>Employee_Net_Salary[[#This Row],[Gross Salary]]*Employee_Net_Salary[[#This Row],[Provident Fund (%)]]</f>
        <v>374.82180000000005</v>
      </c>
      <c r="F16" s="202">
        <v>0.02</v>
      </c>
      <c r="G16" s="23">
        <f>Employee_Net_Salary[[#This Row],[Gross Salary]]*Employee_Net_Salary[[#This Row],[Income Tax (%)]]</f>
        <v>499.76240000000007</v>
      </c>
      <c r="H16" s="200">
        <v>2.5000000000000001E-2</v>
      </c>
      <c r="I16" s="23">
        <f>Employee_Net_Salary[[#This Row],[Gross Salary]]*Employee_Net_Salary[[#This Row],[Professional Tax (%)]]</f>
        <v>624.70300000000009</v>
      </c>
      <c r="J16" s="196">
        <f>Employee_Net_Salary[[#This Row],[Gross Salary]]-SUM(E16,G16,I16)</f>
        <v>23488.832800000004</v>
      </c>
    </row>
    <row r="17" spans="1:10" s="21" customFormat="1" x14ac:dyDescent="0.25">
      <c r="A17" s="2">
        <v>16565</v>
      </c>
      <c r="B17" s="1" t="s">
        <v>39</v>
      </c>
      <c r="C17" s="197">
        <f>Employee_Gross_Salary[[#This Row],[Gross Salary]]</f>
        <v>30663.670000000002</v>
      </c>
      <c r="D17" s="201">
        <v>1.4999999999999999E-2</v>
      </c>
      <c r="E17" s="10">
        <f>Employee_Net_Salary[[#This Row],[Gross Salary]]*Employee_Net_Salary[[#This Row],[Provident Fund (%)]]</f>
        <v>459.95505000000003</v>
      </c>
      <c r="F17" s="203">
        <v>0.02</v>
      </c>
      <c r="G17" s="10">
        <f>Employee_Net_Salary[[#This Row],[Gross Salary]]*Employee_Net_Salary[[#This Row],[Income Tax (%)]]</f>
        <v>613.27340000000004</v>
      </c>
      <c r="H17" s="201">
        <v>2.5000000000000001E-2</v>
      </c>
      <c r="I17" s="10">
        <f>Employee_Net_Salary[[#This Row],[Gross Salary]]*Employee_Net_Salary[[#This Row],[Professional Tax (%)]]</f>
        <v>766.59175000000005</v>
      </c>
      <c r="J17" s="197">
        <f>Employee_Net_Salary[[#This Row],[Gross Salary]]-SUM(E17,G17,I17)</f>
        <v>28823.849800000004</v>
      </c>
    </row>
    <row r="18" spans="1:10" s="21" customFormat="1" x14ac:dyDescent="0.25">
      <c r="A18" s="2">
        <v>16566</v>
      </c>
      <c r="B18" s="1" t="s">
        <v>40</v>
      </c>
      <c r="C18" s="196">
        <f>Employee_Gross_Salary[[#This Row],[Gross Salary]]</f>
        <v>28611.679999999997</v>
      </c>
      <c r="D18" s="200">
        <v>1.4999999999999999E-2</v>
      </c>
      <c r="E18" s="23">
        <f>Employee_Net_Salary[[#This Row],[Gross Salary]]*Employee_Net_Salary[[#This Row],[Provident Fund (%)]]</f>
        <v>429.17519999999996</v>
      </c>
      <c r="F18" s="202">
        <v>0.02</v>
      </c>
      <c r="G18" s="23">
        <f>Employee_Net_Salary[[#This Row],[Gross Salary]]*Employee_Net_Salary[[#This Row],[Income Tax (%)]]</f>
        <v>572.23359999999991</v>
      </c>
      <c r="H18" s="200">
        <v>2.5000000000000001E-2</v>
      </c>
      <c r="I18" s="23">
        <f>Employee_Net_Salary[[#This Row],[Gross Salary]]*Employee_Net_Salary[[#This Row],[Professional Tax (%)]]</f>
        <v>715.29199999999992</v>
      </c>
      <c r="J18" s="196">
        <f>Employee_Net_Salary[[#This Row],[Gross Salary]]-SUM(E18,G18,I18)</f>
        <v>26894.979199999998</v>
      </c>
    </row>
    <row r="19" spans="1:10" s="21" customFormat="1" x14ac:dyDescent="0.25">
      <c r="A19" s="4">
        <v>16567</v>
      </c>
      <c r="B19" s="6" t="s">
        <v>123</v>
      </c>
      <c r="C19" s="199"/>
      <c r="D19" s="204"/>
      <c r="E19" s="11"/>
      <c r="F19" s="205"/>
      <c r="G19" s="11"/>
      <c r="H19" s="204"/>
      <c r="I19" s="11"/>
      <c r="J19" s="199"/>
    </row>
    <row r="20" spans="1:10" x14ac:dyDescent="0.25">
      <c r="A20" s="2">
        <v>16568</v>
      </c>
      <c r="B20" s="1" t="s">
        <v>41</v>
      </c>
      <c r="C20" s="196">
        <f>Employee_Gross_Salary[[#This Row],[Gross Salary]]</f>
        <v>29077.97</v>
      </c>
      <c r="D20" s="200">
        <v>1.4999999999999999E-2</v>
      </c>
      <c r="E20" s="23">
        <f>Employee_Net_Salary[[#This Row],[Gross Salary]]*Employee_Net_Salary[[#This Row],[Provident Fund (%)]]</f>
        <v>436.16955000000002</v>
      </c>
      <c r="F20" s="202">
        <v>0.02</v>
      </c>
      <c r="G20" s="23">
        <f>Employee_Net_Salary[[#This Row],[Gross Salary]]*Employee_Net_Salary[[#This Row],[Income Tax (%)]]</f>
        <v>581.55939999999998</v>
      </c>
      <c r="H20" s="200">
        <v>2.5000000000000001E-2</v>
      </c>
      <c r="I20" s="23">
        <f>Employee_Net_Salary[[#This Row],[Gross Salary]]*Employee_Net_Salary[[#This Row],[Professional Tax (%)]]</f>
        <v>726.94925000000012</v>
      </c>
      <c r="J20" s="196">
        <f>Employee_Net_Salary[[#This Row],[Gross Salary]]-SUM(E20,G20,I20)</f>
        <v>27333.291800000003</v>
      </c>
    </row>
    <row r="21" spans="1:10" x14ac:dyDescent="0.25">
      <c r="A21" s="2">
        <v>16569</v>
      </c>
      <c r="B21" s="1" t="s">
        <v>42</v>
      </c>
      <c r="C21" s="197">
        <f>Employee_Gross_Salary[[#This Row],[Gross Salary]]</f>
        <v>44843.909999999996</v>
      </c>
      <c r="D21" s="201">
        <v>1.4999999999999999E-2</v>
      </c>
      <c r="E21" s="10">
        <f>Employee_Net_Salary[[#This Row],[Gross Salary]]*Employee_Net_Salary[[#This Row],[Provident Fund (%)]]</f>
        <v>672.65864999999997</v>
      </c>
      <c r="F21" s="203">
        <v>0.02</v>
      </c>
      <c r="G21" s="10">
        <f>Employee_Net_Salary[[#This Row],[Gross Salary]]*Employee_Net_Salary[[#This Row],[Income Tax (%)]]</f>
        <v>896.87819999999999</v>
      </c>
      <c r="H21" s="201">
        <v>2.5000000000000001E-2</v>
      </c>
      <c r="I21" s="10">
        <f>Employee_Net_Salary[[#This Row],[Gross Salary]]*Employee_Net_Salary[[#This Row],[Professional Tax (%)]]</f>
        <v>1121.0977499999999</v>
      </c>
      <c r="J21" s="197">
        <f>Employee_Net_Salary[[#This Row],[Gross Salary]]-SUM(E21,G21,I21)</f>
        <v>42153.275399999999</v>
      </c>
    </row>
    <row r="22" spans="1:10" x14ac:dyDescent="0.25">
      <c r="A22" s="2">
        <v>16570</v>
      </c>
      <c r="B22" s="1" t="s">
        <v>43</v>
      </c>
      <c r="C22" s="196">
        <f>Employee_Gross_Salary[[#This Row],[Gross Salary]]</f>
        <v>33240.04</v>
      </c>
      <c r="D22" s="200">
        <v>1.4999999999999999E-2</v>
      </c>
      <c r="E22" s="23">
        <f>Employee_Net_Salary[[#This Row],[Gross Salary]]*Employee_Net_Salary[[#This Row],[Provident Fund (%)]]</f>
        <v>498.60059999999999</v>
      </c>
      <c r="F22" s="202">
        <v>0.02</v>
      </c>
      <c r="G22" s="23">
        <f>Employee_Net_Salary[[#This Row],[Gross Salary]]*Employee_Net_Salary[[#This Row],[Income Tax (%)]]</f>
        <v>664.80079999999998</v>
      </c>
      <c r="H22" s="200">
        <v>2.5000000000000001E-2</v>
      </c>
      <c r="I22" s="23">
        <f>Employee_Net_Salary[[#This Row],[Gross Salary]]*Employee_Net_Salary[[#This Row],[Professional Tax (%)]]</f>
        <v>831.00100000000009</v>
      </c>
      <c r="J22" s="196">
        <f>Employee_Net_Salary[[#This Row],[Gross Salary]]-SUM(E22,G22,I22)</f>
        <v>31245.637600000002</v>
      </c>
    </row>
    <row r="23" spans="1:10" x14ac:dyDescent="0.25">
      <c r="A23" s="2">
        <v>16571</v>
      </c>
      <c r="B23" s="1" t="s">
        <v>44</v>
      </c>
      <c r="C23" s="197">
        <f>Employee_Gross_Salary[[#This Row],[Gross Salary]]</f>
        <v>23859.289999999997</v>
      </c>
      <c r="D23" s="201">
        <v>1.4999999999999999E-2</v>
      </c>
      <c r="E23" s="10">
        <f>Employee_Net_Salary[[#This Row],[Gross Salary]]*Employee_Net_Salary[[#This Row],[Provident Fund (%)]]</f>
        <v>357.88934999999992</v>
      </c>
      <c r="F23" s="203">
        <v>0.02</v>
      </c>
      <c r="G23" s="10">
        <f>Employee_Net_Salary[[#This Row],[Gross Salary]]*Employee_Net_Salary[[#This Row],[Income Tax (%)]]</f>
        <v>477.18579999999997</v>
      </c>
      <c r="H23" s="201">
        <v>2.5000000000000001E-2</v>
      </c>
      <c r="I23" s="10">
        <f>Employee_Net_Salary[[#This Row],[Gross Salary]]*Employee_Net_Salary[[#This Row],[Professional Tax (%)]]</f>
        <v>596.48224999999991</v>
      </c>
      <c r="J23" s="197">
        <f>Employee_Net_Salary[[#This Row],[Gross Salary]]-SUM(E23,G23,I23)</f>
        <v>22427.732599999996</v>
      </c>
    </row>
    <row r="24" spans="1:10" x14ac:dyDescent="0.25">
      <c r="A24" s="2">
        <v>16572</v>
      </c>
      <c r="B24" s="1" t="s">
        <v>45</v>
      </c>
      <c r="C24" s="196">
        <f>Employee_Gross_Salary[[#This Row],[Gross Salary]]</f>
        <v>23736.829999999998</v>
      </c>
      <c r="D24" s="200">
        <v>1.4999999999999999E-2</v>
      </c>
      <c r="E24" s="23">
        <f>Employee_Net_Salary[[#This Row],[Gross Salary]]*Employee_Net_Salary[[#This Row],[Provident Fund (%)]]</f>
        <v>356.05244999999996</v>
      </c>
      <c r="F24" s="202">
        <v>0.02</v>
      </c>
      <c r="G24" s="23">
        <f>Employee_Net_Salary[[#This Row],[Gross Salary]]*Employee_Net_Salary[[#This Row],[Income Tax (%)]]</f>
        <v>474.73659999999995</v>
      </c>
      <c r="H24" s="200">
        <v>2.5000000000000001E-2</v>
      </c>
      <c r="I24" s="23">
        <f>Employee_Net_Salary[[#This Row],[Gross Salary]]*Employee_Net_Salary[[#This Row],[Professional Tax (%)]]</f>
        <v>593.42075</v>
      </c>
      <c r="J24" s="196">
        <f>Employee_Net_Salary[[#This Row],[Gross Salary]]-SUM(E24,G24,I24)</f>
        <v>22312.620199999998</v>
      </c>
    </row>
    <row r="25" spans="1:10" x14ac:dyDescent="0.25">
      <c r="A25" s="2">
        <v>16573</v>
      </c>
      <c r="B25" s="1" t="s">
        <v>46</v>
      </c>
      <c r="C25" s="197">
        <f>Employee_Gross_Salary[[#This Row],[Gross Salary]]</f>
        <v>22664.520000000004</v>
      </c>
      <c r="D25" s="201">
        <v>1.4999999999999999E-2</v>
      </c>
      <c r="E25" s="10">
        <f>Employee_Net_Salary[[#This Row],[Gross Salary]]*Employee_Net_Salary[[#This Row],[Provident Fund (%)]]</f>
        <v>339.96780000000007</v>
      </c>
      <c r="F25" s="203">
        <v>0.02</v>
      </c>
      <c r="G25" s="10">
        <f>Employee_Net_Salary[[#This Row],[Gross Salary]]*Employee_Net_Salary[[#This Row],[Income Tax (%)]]</f>
        <v>453.29040000000009</v>
      </c>
      <c r="H25" s="201">
        <v>2.5000000000000001E-2</v>
      </c>
      <c r="I25" s="10">
        <f>Employee_Net_Salary[[#This Row],[Gross Salary]]*Employee_Net_Salary[[#This Row],[Professional Tax (%)]]</f>
        <v>566.61300000000017</v>
      </c>
      <c r="J25" s="197">
        <f>Employee_Net_Salary[[#This Row],[Gross Salary]]-SUM(E25,G25,I25)</f>
        <v>21304.648800000003</v>
      </c>
    </row>
    <row r="26" spans="1:10" x14ac:dyDescent="0.25">
      <c r="A26" s="2">
        <v>16574</v>
      </c>
      <c r="B26" s="1" t="s">
        <v>47</v>
      </c>
      <c r="C26" s="196">
        <f>Employee_Gross_Salary[[#This Row],[Gross Salary]]</f>
        <v>19697.22</v>
      </c>
      <c r="D26" s="200">
        <v>1.4999999999999999E-2</v>
      </c>
      <c r="E26" s="23">
        <f>Employee_Net_Salary[[#This Row],[Gross Salary]]*Employee_Net_Salary[[#This Row],[Provident Fund (%)]]</f>
        <v>295.45830000000001</v>
      </c>
      <c r="F26" s="202">
        <v>0.02</v>
      </c>
      <c r="G26" s="23">
        <f>Employee_Net_Salary[[#This Row],[Gross Salary]]*Employee_Net_Salary[[#This Row],[Income Tax (%)]]</f>
        <v>393.94440000000003</v>
      </c>
      <c r="H26" s="200">
        <v>2.5000000000000001E-2</v>
      </c>
      <c r="I26" s="23">
        <f>Employee_Net_Salary[[#This Row],[Gross Salary]]*Employee_Net_Salary[[#This Row],[Professional Tax (%)]]</f>
        <v>492.43050000000005</v>
      </c>
      <c r="J26" s="196">
        <f>Employee_Net_Salary[[#This Row],[Gross Salary]]-SUM(E26,G26,I26)</f>
        <v>18515.3868</v>
      </c>
    </row>
    <row r="27" spans="1:10" x14ac:dyDescent="0.25">
      <c r="A27" s="2">
        <v>30033</v>
      </c>
      <c r="B27" s="1" t="s">
        <v>51</v>
      </c>
      <c r="C27" s="197">
        <f>Employee_Gross_Salary[[#This Row],[Gross Salary]]</f>
        <v>35106.770000000004</v>
      </c>
      <c r="D27" s="201">
        <v>1.4999999999999999E-2</v>
      </c>
      <c r="E27" s="10">
        <f>Employee_Net_Salary[[#This Row],[Gross Salary]]*Employee_Net_Salary[[#This Row],[Provident Fund (%)]]</f>
        <v>526.60155000000009</v>
      </c>
      <c r="F27" s="203">
        <v>0.02</v>
      </c>
      <c r="G27" s="10">
        <f>Employee_Net_Salary[[#This Row],[Gross Salary]]*Employee_Net_Salary[[#This Row],[Income Tax (%)]]</f>
        <v>702.13540000000012</v>
      </c>
      <c r="H27" s="201">
        <v>2.5000000000000001E-2</v>
      </c>
      <c r="I27" s="10">
        <f>Employee_Net_Salary[[#This Row],[Gross Salary]]*Employee_Net_Salary[[#This Row],[Professional Tax (%)]]</f>
        <v>877.66925000000015</v>
      </c>
      <c r="J27" s="197">
        <f>Employee_Net_Salary[[#This Row],[Gross Salary]]-SUM(E27,G27,I27)</f>
        <v>33000.363800000006</v>
      </c>
    </row>
    <row r="28" spans="1:10" x14ac:dyDescent="0.25">
      <c r="A28" s="2">
        <v>40742</v>
      </c>
      <c r="B28" s="1" t="s">
        <v>54</v>
      </c>
      <c r="C28" s="196">
        <f>Employee_Gross_Salary[[#This Row],[Gross Salary]]</f>
        <v>26817.170000000002</v>
      </c>
      <c r="D28" s="200">
        <v>1.4999999999999999E-2</v>
      </c>
      <c r="E28" s="23">
        <f>Employee_Net_Salary[[#This Row],[Gross Salary]]*Employee_Net_Salary[[#This Row],[Provident Fund (%)]]</f>
        <v>402.25755000000004</v>
      </c>
      <c r="F28" s="202">
        <v>0.02</v>
      </c>
      <c r="G28" s="23">
        <f>Employee_Net_Salary[[#This Row],[Gross Salary]]*Employee_Net_Salary[[#This Row],[Income Tax (%)]]</f>
        <v>536.34340000000009</v>
      </c>
      <c r="H28" s="200">
        <v>2.5000000000000001E-2</v>
      </c>
      <c r="I28" s="23">
        <f>Employee_Net_Salary[[#This Row],[Gross Salary]]*Employee_Net_Salary[[#This Row],[Professional Tax (%)]]</f>
        <v>670.42925000000014</v>
      </c>
      <c r="J28" s="196">
        <f>Employee_Net_Salary[[#This Row],[Gross Salary]]-SUM(E28,G28,I28)</f>
        <v>25208.139800000001</v>
      </c>
    </row>
    <row r="29" spans="1:10" x14ac:dyDescent="0.25">
      <c r="A29" s="2">
        <v>40743</v>
      </c>
      <c r="B29" s="1" t="s">
        <v>61</v>
      </c>
      <c r="C29" s="197">
        <f>Employee_Gross_Salary[[#This Row],[Gross Salary]]</f>
        <v>38589.03</v>
      </c>
      <c r="D29" s="201">
        <v>1.4999999999999999E-2</v>
      </c>
      <c r="E29" s="10">
        <f>Employee_Net_Salary[[#This Row],[Gross Salary]]*Employee_Net_Salary[[#This Row],[Provident Fund (%)]]</f>
        <v>578.83544999999992</v>
      </c>
      <c r="F29" s="203">
        <v>0.02</v>
      </c>
      <c r="G29" s="10">
        <f>Employee_Net_Salary[[#This Row],[Gross Salary]]*Employee_Net_Salary[[#This Row],[Income Tax (%)]]</f>
        <v>771.78060000000005</v>
      </c>
      <c r="H29" s="201">
        <v>2.5000000000000001E-2</v>
      </c>
      <c r="I29" s="10">
        <f>Employee_Net_Salary[[#This Row],[Gross Salary]]*Employee_Net_Salary[[#This Row],[Professional Tax (%)]]</f>
        <v>964.72575000000006</v>
      </c>
      <c r="J29" s="197">
        <f>Employee_Net_Salary[[#This Row],[Gross Salary]]-SUM(E29,G29,I29)</f>
        <v>36273.688199999997</v>
      </c>
    </row>
    <row r="33" spans="4:9" x14ac:dyDescent="0.25">
      <c r="D33" s="302" t="s">
        <v>396</v>
      </c>
      <c r="E33" s="302"/>
      <c r="F33" s="302"/>
      <c r="G33" s="302"/>
      <c r="H33" s="302"/>
      <c r="I33" s="302"/>
    </row>
    <row r="34" spans="4:9" x14ac:dyDescent="0.25">
      <c r="D34" s="302"/>
      <c r="E34" s="302"/>
      <c r="F34" s="302"/>
      <c r="G34" s="302"/>
      <c r="H34" s="302"/>
      <c r="I34" s="302"/>
    </row>
    <row r="35" spans="4:9" x14ac:dyDescent="0.25">
      <c r="D35" s="302"/>
      <c r="E35" s="302"/>
      <c r="F35" s="302"/>
      <c r="G35" s="302"/>
      <c r="H35" s="302"/>
      <c r="I35" s="302"/>
    </row>
    <row r="36" spans="4:9" x14ac:dyDescent="0.25">
      <c r="D36" s="302"/>
      <c r="E36" s="302"/>
      <c r="F36" s="302"/>
      <c r="G36" s="302"/>
      <c r="H36" s="302"/>
      <c r="I36" s="302"/>
    </row>
  </sheetData>
  <mergeCells count="1">
    <mergeCell ref="D33:I36"/>
  </mergeCells>
  <pageMargins left="0.7" right="0.7" top="0.75" bottom="0.75" header="0.3" footer="0.3"/>
  <pageSetup orientation="portrait" horizontalDpi="300" verticalDpi="0"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4AF04D-91B6-4263-B189-3DBFA38BECFB}">
  <dimension ref="F1:Q25"/>
  <sheetViews>
    <sheetView zoomScale="10" zoomScaleNormal="10" workbookViewId="0">
      <selection activeCell="CI87" sqref="CI87"/>
    </sheetView>
  </sheetViews>
  <sheetFormatPr defaultRowHeight="15" x14ac:dyDescent="0.25"/>
  <cols>
    <col min="1" max="13" width="9.140625" style="254"/>
    <col min="14" max="14" width="6.85546875" style="254" customWidth="1"/>
    <col min="15" max="16384" width="9.140625" style="254"/>
  </cols>
  <sheetData>
    <row r="1" spans="6:17" x14ac:dyDescent="0.25">
      <c r="F1" s="253"/>
      <c r="G1" s="253"/>
      <c r="H1" s="253"/>
      <c r="I1" s="253"/>
      <c r="J1" s="253"/>
      <c r="K1" s="253"/>
      <c r="L1" s="253"/>
      <c r="M1" s="253"/>
      <c r="N1" s="253"/>
      <c r="O1" s="253"/>
      <c r="P1" s="253"/>
      <c r="Q1" s="253"/>
    </row>
    <row r="2" spans="6:17" x14ac:dyDescent="0.25">
      <c r="F2" s="253"/>
      <c r="G2" s="253"/>
      <c r="H2" s="253"/>
      <c r="I2" s="253"/>
      <c r="J2" s="253"/>
      <c r="K2" s="253"/>
      <c r="L2" s="253"/>
      <c r="M2" s="253"/>
      <c r="N2" s="253"/>
      <c r="O2" s="253"/>
      <c r="P2" s="253"/>
      <c r="Q2" s="253"/>
    </row>
    <row r="3" spans="6:17" x14ac:dyDescent="0.25">
      <c r="F3" s="253"/>
      <c r="G3" s="253"/>
      <c r="H3" s="253"/>
      <c r="I3" s="253"/>
      <c r="J3" s="253"/>
      <c r="K3" s="253"/>
      <c r="L3" s="253"/>
      <c r="M3" s="253"/>
      <c r="N3" s="253"/>
      <c r="O3" s="253"/>
      <c r="P3" s="253"/>
      <c r="Q3" s="253"/>
    </row>
    <row r="4" spans="6:17" x14ac:dyDescent="0.25">
      <c r="F4" s="253"/>
      <c r="G4" s="253"/>
      <c r="H4" s="253"/>
      <c r="I4" s="253"/>
      <c r="J4" s="253"/>
      <c r="K4" s="253"/>
      <c r="L4" s="253"/>
      <c r="M4" s="253"/>
      <c r="N4" s="253"/>
      <c r="O4" s="253"/>
      <c r="P4" s="253"/>
      <c r="Q4" s="253"/>
    </row>
    <row r="5" spans="6:17" x14ac:dyDescent="0.25">
      <c r="F5" s="253"/>
      <c r="G5" s="253"/>
      <c r="H5" s="253"/>
      <c r="I5" s="253"/>
      <c r="J5" s="253"/>
      <c r="K5" s="253"/>
      <c r="L5" s="253"/>
      <c r="M5" s="253"/>
      <c r="N5" s="253"/>
      <c r="O5" s="253"/>
      <c r="P5" s="253"/>
      <c r="Q5" s="253"/>
    </row>
    <row r="6" spans="6:17" x14ac:dyDescent="0.25">
      <c r="F6" s="253"/>
      <c r="G6" s="253"/>
      <c r="H6" s="253"/>
      <c r="I6" s="253"/>
      <c r="J6" s="253"/>
      <c r="K6" s="253"/>
      <c r="L6" s="253"/>
      <c r="M6" s="253"/>
      <c r="N6" s="253"/>
      <c r="O6" s="253"/>
      <c r="P6" s="253"/>
      <c r="Q6" s="253"/>
    </row>
    <row r="7" spans="6:17" x14ac:dyDescent="0.25">
      <c r="F7" s="253"/>
      <c r="G7" s="253"/>
      <c r="H7" s="253"/>
      <c r="I7" s="253"/>
      <c r="J7" s="253"/>
      <c r="K7" s="253"/>
      <c r="L7" s="253"/>
      <c r="M7" s="253"/>
      <c r="N7" s="253"/>
      <c r="O7" s="253"/>
      <c r="P7" s="253"/>
      <c r="Q7" s="253"/>
    </row>
    <row r="8" spans="6:17" x14ac:dyDescent="0.25">
      <c r="F8" s="253"/>
      <c r="G8" s="253"/>
      <c r="H8" s="253"/>
      <c r="I8" s="253"/>
      <c r="J8" s="253"/>
      <c r="K8" s="253"/>
      <c r="L8" s="253"/>
      <c r="M8" s="253"/>
      <c r="N8" s="253"/>
      <c r="O8" s="253"/>
      <c r="P8" s="253"/>
      <c r="Q8" s="253"/>
    </row>
    <row r="9" spans="6:17" x14ac:dyDescent="0.25">
      <c r="F9" s="253"/>
      <c r="G9" s="253"/>
      <c r="H9" s="253"/>
      <c r="I9" s="253"/>
      <c r="J9" s="253"/>
      <c r="K9" s="253"/>
      <c r="L9" s="253"/>
      <c r="M9" s="253"/>
      <c r="N9" s="253"/>
      <c r="O9" s="253"/>
      <c r="P9" s="253"/>
      <c r="Q9" s="253"/>
    </row>
    <row r="10" spans="6:17" x14ac:dyDescent="0.25">
      <c r="F10" s="253"/>
      <c r="G10" s="253"/>
      <c r="H10" s="253"/>
      <c r="I10" s="253"/>
      <c r="J10" s="253"/>
      <c r="K10" s="253"/>
      <c r="L10" s="253"/>
      <c r="M10" s="253"/>
      <c r="N10" s="253"/>
      <c r="O10" s="253"/>
      <c r="P10" s="253"/>
      <c r="Q10" s="253"/>
    </row>
    <row r="11" spans="6:17" x14ac:dyDescent="0.25">
      <c r="F11" s="253"/>
      <c r="G11" s="253"/>
      <c r="H11" s="253"/>
      <c r="I11" s="253"/>
      <c r="J11" s="253"/>
      <c r="K11" s="253"/>
      <c r="L11" s="253"/>
      <c r="M11" s="253"/>
      <c r="N11" s="253"/>
      <c r="O11" s="253"/>
      <c r="P11" s="253"/>
      <c r="Q11" s="253"/>
    </row>
    <row r="12" spans="6:17" x14ac:dyDescent="0.25">
      <c r="F12" s="253"/>
      <c r="G12" s="253"/>
      <c r="H12" s="253"/>
      <c r="I12" s="253"/>
      <c r="J12" s="253"/>
      <c r="K12" s="253"/>
      <c r="L12" s="253"/>
      <c r="M12" s="253"/>
      <c r="N12" s="253"/>
      <c r="O12" s="253"/>
      <c r="P12" s="253"/>
      <c r="Q12" s="253"/>
    </row>
    <row r="13" spans="6:17" x14ac:dyDescent="0.25">
      <c r="F13" s="253"/>
      <c r="G13" s="253"/>
      <c r="H13" s="253"/>
      <c r="I13" s="253"/>
      <c r="J13" s="253"/>
      <c r="K13" s="253"/>
      <c r="L13" s="253"/>
      <c r="M13" s="253"/>
      <c r="N13" s="253"/>
      <c r="O13" s="253"/>
      <c r="P13" s="253"/>
      <c r="Q13" s="253"/>
    </row>
    <row r="14" spans="6:17" x14ac:dyDescent="0.25">
      <c r="F14" s="253"/>
      <c r="G14" s="253"/>
      <c r="H14" s="253"/>
      <c r="I14" s="253"/>
      <c r="J14" s="253"/>
      <c r="K14" s="253"/>
      <c r="L14" s="253"/>
      <c r="M14" s="253"/>
      <c r="N14" s="253"/>
      <c r="O14" s="253"/>
      <c r="P14" s="253"/>
      <c r="Q14" s="253"/>
    </row>
    <row r="15" spans="6:17" x14ac:dyDescent="0.25">
      <c r="F15" s="253"/>
      <c r="G15" s="253"/>
      <c r="H15" s="253"/>
      <c r="I15" s="253"/>
      <c r="J15" s="253"/>
      <c r="K15" s="253"/>
      <c r="L15" s="253"/>
      <c r="M15" s="253"/>
      <c r="N15" s="253"/>
      <c r="O15" s="253"/>
      <c r="P15" s="253"/>
      <c r="Q15" s="253"/>
    </row>
    <row r="16" spans="6:17" x14ac:dyDescent="0.25">
      <c r="F16" s="253"/>
      <c r="G16" s="253"/>
      <c r="H16" s="253"/>
      <c r="I16" s="253"/>
      <c r="J16" s="253"/>
      <c r="K16" s="253"/>
      <c r="L16" s="253"/>
      <c r="M16" s="253"/>
      <c r="N16" s="253"/>
      <c r="O16" s="253"/>
      <c r="P16" s="253"/>
      <c r="Q16" s="253"/>
    </row>
    <row r="17" spans="6:17" x14ac:dyDescent="0.25">
      <c r="F17" s="253"/>
      <c r="G17" s="253"/>
      <c r="H17" s="253"/>
      <c r="I17" s="253"/>
      <c r="J17" s="253"/>
      <c r="K17" s="253"/>
      <c r="L17" s="253"/>
      <c r="M17" s="253"/>
      <c r="N17" s="253"/>
      <c r="O17" s="253"/>
      <c r="P17" s="253"/>
      <c r="Q17" s="253"/>
    </row>
    <row r="18" spans="6:17" x14ac:dyDescent="0.25">
      <c r="F18" s="253"/>
      <c r="G18" s="253"/>
      <c r="H18" s="253"/>
      <c r="I18" s="253"/>
      <c r="J18" s="253"/>
      <c r="K18" s="253"/>
      <c r="L18" s="253"/>
      <c r="M18" s="253"/>
      <c r="N18" s="253"/>
      <c r="O18" s="253"/>
      <c r="P18" s="253"/>
      <c r="Q18" s="253"/>
    </row>
    <row r="19" spans="6:17" x14ac:dyDescent="0.25">
      <c r="F19" s="253"/>
      <c r="G19" s="253"/>
      <c r="H19" s="253"/>
      <c r="I19" s="253"/>
      <c r="J19" s="253"/>
      <c r="K19" s="253"/>
      <c r="L19" s="253"/>
      <c r="M19" s="253"/>
      <c r="N19" s="253"/>
      <c r="O19" s="253"/>
      <c r="P19" s="253"/>
      <c r="Q19" s="253"/>
    </row>
    <row r="20" spans="6:17" x14ac:dyDescent="0.25">
      <c r="F20" s="253"/>
      <c r="G20" s="253"/>
      <c r="H20" s="253"/>
      <c r="I20" s="253"/>
      <c r="J20" s="253"/>
      <c r="K20" s="253"/>
      <c r="L20" s="253"/>
      <c r="M20" s="253"/>
      <c r="N20" s="253"/>
      <c r="O20" s="253"/>
      <c r="P20" s="253"/>
      <c r="Q20" s="253"/>
    </row>
    <row r="21" spans="6:17" x14ac:dyDescent="0.25">
      <c r="F21" s="253"/>
      <c r="G21" s="253"/>
      <c r="H21" s="253"/>
      <c r="I21" s="253"/>
      <c r="J21" s="253"/>
      <c r="K21" s="253"/>
      <c r="L21" s="253"/>
      <c r="M21" s="253"/>
      <c r="N21" s="253"/>
      <c r="O21" s="253"/>
      <c r="P21" s="253"/>
      <c r="Q21" s="253"/>
    </row>
    <row r="22" spans="6:17" x14ac:dyDescent="0.25">
      <c r="F22" s="253"/>
      <c r="G22" s="253"/>
      <c r="H22" s="253"/>
      <c r="I22" s="253"/>
      <c r="J22" s="253"/>
      <c r="K22" s="253"/>
      <c r="L22" s="253"/>
      <c r="M22" s="253"/>
      <c r="N22" s="253"/>
      <c r="O22" s="253"/>
      <c r="P22" s="253"/>
      <c r="Q22" s="253"/>
    </row>
    <row r="23" spans="6:17" x14ac:dyDescent="0.25">
      <c r="F23" s="253"/>
      <c r="G23" s="253"/>
      <c r="H23" s="253"/>
      <c r="I23" s="253"/>
      <c r="J23" s="253"/>
      <c r="K23" s="253"/>
      <c r="L23" s="253"/>
      <c r="M23" s="253"/>
      <c r="N23" s="253"/>
      <c r="O23" s="253"/>
      <c r="P23" s="253"/>
      <c r="Q23" s="253"/>
    </row>
    <row r="24" spans="6:17" x14ac:dyDescent="0.25">
      <c r="F24" s="253"/>
      <c r="G24" s="253"/>
      <c r="H24" s="253"/>
      <c r="I24" s="253"/>
      <c r="J24" s="253"/>
      <c r="K24" s="253"/>
      <c r="L24" s="253"/>
      <c r="M24" s="253"/>
      <c r="N24" s="253"/>
      <c r="O24" s="253"/>
      <c r="P24" s="253"/>
      <c r="Q24" s="253"/>
    </row>
    <row r="25" spans="6:17" x14ac:dyDescent="0.25">
      <c r="F25" s="253"/>
      <c r="G25" s="253"/>
      <c r="H25" s="253"/>
      <c r="I25" s="253"/>
      <c r="J25" s="253"/>
      <c r="K25" s="253"/>
      <c r="L25" s="253"/>
      <c r="M25" s="253"/>
      <c r="N25" s="253"/>
      <c r="O25" s="253"/>
      <c r="P25" s="253"/>
      <c r="Q25" s="253"/>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58B5F0-FBA6-4034-9C83-6CD2677614F3}">
  <dimension ref="B1:X45"/>
  <sheetViews>
    <sheetView zoomScale="85" zoomScaleNormal="85" workbookViewId="0">
      <selection activeCell="G1" sqref="G1:L1"/>
    </sheetView>
  </sheetViews>
  <sheetFormatPr defaultRowHeight="15" x14ac:dyDescent="0.25"/>
  <cols>
    <col min="1" max="23" width="9.140625" style="133"/>
    <col min="24" max="24" width="10.42578125" style="133" customWidth="1"/>
    <col min="25" max="16384" width="9.140625" style="133"/>
  </cols>
  <sheetData>
    <row r="1" spans="2:24" ht="27" customHeight="1" x14ac:dyDescent="0.25">
      <c r="C1" s="131"/>
      <c r="D1" s="131"/>
      <c r="E1" s="131"/>
      <c r="F1" s="179"/>
      <c r="G1" s="269" t="s">
        <v>185</v>
      </c>
      <c r="H1" s="269"/>
      <c r="I1" s="269"/>
      <c r="J1" s="269"/>
      <c r="K1" s="269"/>
      <c r="L1" s="269"/>
      <c r="M1" s="131"/>
      <c r="N1" s="131"/>
      <c r="O1" s="131"/>
    </row>
    <row r="2" spans="2:24" ht="15.75" thickBot="1" x14ac:dyDescent="0.3">
      <c r="C2" s="131"/>
      <c r="D2" s="131"/>
      <c r="E2" s="131"/>
      <c r="F2" s="167"/>
      <c r="G2" s="167"/>
      <c r="H2" s="167"/>
      <c r="I2" s="167"/>
      <c r="J2" s="167"/>
      <c r="K2" s="167"/>
      <c r="L2" s="167"/>
      <c r="M2" s="131"/>
      <c r="N2" s="131"/>
      <c r="O2" s="131"/>
      <c r="X2" s="180" t="s">
        <v>360</v>
      </c>
    </row>
    <row r="3" spans="2:24" ht="16.5" thickTop="1" thickBot="1" x14ac:dyDescent="0.3">
      <c r="C3" s="131"/>
      <c r="D3" s="131"/>
      <c r="E3" s="131"/>
      <c r="F3" s="167"/>
      <c r="G3" s="273" t="s">
        <v>175</v>
      </c>
      <c r="H3" s="273"/>
      <c r="I3" s="273"/>
      <c r="J3" s="273"/>
      <c r="K3" s="273"/>
      <c r="L3" s="273"/>
      <c r="M3" s="131"/>
      <c r="N3" s="131"/>
      <c r="O3" s="131"/>
      <c r="X3" s="180"/>
    </row>
    <row r="4" spans="2:24" ht="16.5" thickTop="1" thickBot="1" x14ac:dyDescent="0.3">
      <c r="C4" s="134"/>
      <c r="D4" s="134"/>
      <c r="E4" s="132"/>
      <c r="F4" s="178"/>
      <c r="G4" s="273"/>
      <c r="H4" s="273"/>
      <c r="I4" s="273"/>
      <c r="J4" s="273"/>
      <c r="K4" s="273"/>
      <c r="L4" s="273"/>
      <c r="M4" s="132"/>
      <c r="N4" s="134"/>
      <c r="O4" s="134"/>
    </row>
    <row r="5" spans="2:24" ht="16.5" thickTop="1" thickBot="1" x14ac:dyDescent="0.3">
      <c r="C5" s="134"/>
      <c r="D5" s="134"/>
      <c r="E5" s="132"/>
      <c r="F5" s="178"/>
      <c r="G5" s="273"/>
      <c r="H5" s="273"/>
      <c r="I5" s="273"/>
      <c r="J5" s="273"/>
      <c r="K5" s="273"/>
      <c r="L5" s="273"/>
      <c r="M5" s="132"/>
      <c r="N5" s="134"/>
      <c r="O5" s="134"/>
    </row>
    <row r="6" spans="2:24" ht="16.5" thickTop="1" thickBot="1" x14ac:dyDescent="0.3">
      <c r="C6" s="134"/>
      <c r="D6" s="134"/>
      <c r="E6" s="132"/>
      <c r="F6" s="178"/>
      <c r="G6" s="273"/>
      <c r="H6" s="273"/>
      <c r="I6" s="273"/>
      <c r="J6" s="273"/>
      <c r="K6" s="273"/>
      <c r="L6" s="273"/>
      <c r="M6" s="132"/>
      <c r="N6" s="134"/>
      <c r="O6" s="134"/>
    </row>
    <row r="7" spans="2:24" ht="16.5" thickTop="1" thickBot="1" x14ac:dyDescent="0.3">
      <c r="F7" s="169"/>
      <c r="G7" s="273"/>
      <c r="H7" s="273"/>
      <c r="I7" s="273"/>
      <c r="J7" s="273"/>
      <c r="K7" s="273"/>
      <c r="L7" s="273"/>
    </row>
    <row r="8" spans="2:24" ht="16.5" thickTop="1" thickBot="1" x14ac:dyDescent="0.3">
      <c r="F8" s="169"/>
      <c r="G8" s="273"/>
      <c r="H8" s="273"/>
      <c r="I8" s="273"/>
      <c r="J8" s="273"/>
      <c r="K8" s="273"/>
      <c r="L8" s="273"/>
    </row>
    <row r="9" spans="2:24" ht="16.5" thickTop="1" thickBot="1" x14ac:dyDescent="0.3">
      <c r="F9" s="169"/>
      <c r="G9" s="273"/>
      <c r="H9" s="273"/>
      <c r="I9" s="273"/>
      <c r="J9" s="273"/>
      <c r="K9" s="273"/>
      <c r="L9" s="273"/>
    </row>
    <row r="10" spans="2:24" ht="16.5" thickTop="1" thickBot="1" x14ac:dyDescent="0.3">
      <c r="F10" s="169"/>
      <c r="G10" s="273"/>
      <c r="H10" s="273"/>
      <c r="I10" s="273"/>
      <c r="J10" s="273"/>
      <c r="K10" s="273"/>
      <c r="L10" s="273"/>
    </row>
    <row r="11" spans="2:24" ht="16.5" thickTop="1" thickBot="1" x14ac:dyDescent="0.3">
      <c r="F11" s="169"/>
      <c r="G11" s="273"/>
      <c r="H11" s="273"/>
      <c r="I11" s="273"/>
      <c r="J11" s="273"/>
      <c r="K11" s="273"/>
      <c r="L11" s="273"/>
    </row>
    <row r="12" spans="2:24" ht="27" customHeight="1" thickTop="1" x14ac:dyDescent="0.25">
      <c r="F12" s="169"/>
      <c r="G12" s="169"/>
      <c r="H12" s="272" t="s">
        <v>174</v>
      </c>
      <c r="I12" s="272"/>
      <c r="J12" s="272"/>
      <c r="K12" s="272"/>
      <c r="L12" s="169"/>
    </row>
    <row r="15" spans="2:24" ht="51" x14ac:dyDescent="0.75">
      <c r="B15" s="270" t="s">
        <v>363</v>
      </c>
      <c r="C15" s="270"/>
      <c r="D15" s="270"/>
      <c r="E15" s="270"/>
      <c r="F15" s="270"/>
      <c r="G15" s="270"/>
      <c r="H15" s="270"/>
      <c r="I15" s="270"/>
      <c r="J15" s="270"/>
      <c r="K15" s="270"/>
      <c r="L15" s="270"/>
      <c r="M15" s="270"/>
      <c r="N15" s="270"/>
      <c r="O15" s="270"/>
      <c r="P15" s="270"/>
    </row>
    <row r="18" ht="26.25" customHeight="1" x14ac:dyDescent="0.25"/>
    <row r="44" spans="5:12" ht="18.75" customHeight="1" x14ac:dyDescent="0.25">
      <c r="E44" s="271" t="s">
        <v>171</v>
      </c>
      <c r="F44" s="271"/>
      <c r="G44" s="271"/>
      <c r="H44" s="271"/>
      <c r="I44" s="271"/>
      <c r="J44" s="271"/>
      <c r="K44" s="271"/>
      <c r="L44" s="271"/>
    </row>
    <row r="45" spans="5:12" ht="18.75" customHeight="1" x14ac:dyDescent="0.25">
      <c r="E45" s="271"/>
      <c r="F45" s="271"/>
      <c r="G45" s="271"/>
      <c r="H45" s="271"/>
      <c r="I45" s="271"/>
      <c r="J45" s="271"/>
      <c r="K45" s="271"/>
      <c r="L45" s="271"/>
    </row>
  </sheetData>
  <mergeCells count="5">
    <mergeCell ref="G1:L1"/>
    <mergeCell ref="B15:P15"/>
    <mergeCell ref="E44:L45"/>
    <mergeCell ref="H12:K12"/>
    <mergeCell ref="G3:L11"/>
  </mergeCells>
  <pageMargins left="0.7" right="0.7" top="0.75" bottom="0.75" header="0.3" footer="0.3"/>
  <pageSetup orientation="portrait" horizontalDpi="300" verticalDpi="0" r:id="rId1"/>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AB6B538-2BF7-4EEA-B15E-0CBFB630F777}">
  <sheetPr codeName="Sheet1"/>
  <dimension ref="A1:R71"/>
  <sheetViews>
    <sheetView zoomScale="85" zoomScaleNormal="85" workbookViewId="0">
      <selection activeCell="G2" sqref="G2"/>
    </sheetView>
  </sheetViews>
  <sheetFormatPr defaultRowHeight="15" x14ac:dyDescent="0.25"/>
  <cols>
    <col min="4" max="4" width="9.42578125" customWidth="1"/>
    <col min="7" max="7" width="9" customWidth="1"/>
    <col min="8" max="8" width="9.42578125" customWidth="1"/>
    <col min="13" max="13" width="10.140625" customWidth="1"/>
    <col min="14" max="14" width="10" customWidth="1"/>
    <col min="15" max="15" width="11.42578125" customWidth="1"/>
  </cols>
  <sheetData>
    <row r="1" spans="1:18" ht="18.75" x14ac:dyDescent="0.25">
      <c r="A1" s="287" t="s">
        <v>186</v>
      </c>
      <c r="B1" s="288"/>
      <c r="C1" s="288"/>
      <c r="D1" s="288"/>
      <c r="E1" s="289"/>
      <c r="G1" s="172" t="s">
        <v>360</v>
      </c>
      <c r="I1" s="274" t="s">
        <v>288</v>
      </c>
      <c r="J1" s="274"/>
      <c r="K1" s="274"/>
      <c r="L1" s="274"/>
      <c r="M1" s="274"/>
      <c r="N1" s="274"/>
      <c r="O1" s="274"/>
    </row>
    <row r="2" spans="1:18" ht="15.75" x14ac:dyDescent="0.25">
      <c r="A2" s="290" t="s">
        <v>187</v>
      </c>
      <c r="B2" s="291"/>
      <c r="C2" s="291"/>
      <c r="D2" s="291"/>
      <c r="E2" s="292"/>
      <c r="G2" s="172"/>
      <c r="I2" s="274"/>
      <c r="J2" s="274"/>
      <c r="K2" s="274"/>
      <c r="L2" s="274"/>
      <c r="M2" s="274"/>
      <c r="N2" s="274"/>
      <c r="O2" s="274"/>
    </row>
    <row r="3" spans="1:18" ht="15.75" x14ac:dyDescent="0.25">
      <c r="A3" s="85" t="s">
        <v>197</v>
      </c>
      <c r="B3" s="85"/>
      <c r="C3" s="86"/>
      <c r="D3" s="87" t="s">
        <v>205</v>
      </c>
      <c r="E3" s="84"/>
      <c r="I3" s="275" t="s">
        <v>289</v>
      </c>
      <c r="J3" s="275"/>
      <c r="K3" s="275" t="s">
        <v>290</v>
      </c>
      <c r="L3" s="275"/>
      <c r="M3" s="275"/>
      <c r="N3" s="275"/>
      <c r="O3" s="275"/>
    </row>
    <row r="4" spans="1:18" x14ac:dyDescent="0.25">
      <c r="A4" s="280" t="s">
        <v>209</v>
      </c>
      <c r="B4" s="280"/>
      <c r="C4" s="280"/>
      <c r="D4" s="87" t="s">
        <v>207</v>
      </c>
      <c r="E4" s="84"/>
      <c r="I4" s="181" t="s">
        <v>291</v>
      </c>
      <c r="J4" s="182"/>
      <c r="K4" s="276" t="s">
        <v>316</v>
      </c>
      <c r="L4" s="276"/>
      <c r="M4" s="276"/>
      <c r="N4" s="276"/>
      <c r="O4" s="182"/>
    </row>
    <row r="5" spans="1:18" x14ac:dyDescent="0.25">
      <c r="A5" s="280" t="s">
        <v>202</v>
      </c>
      <c r="B5" s="280"/>
      <c r="C5" s="86"/>
      <c r="D5" s="87" t="s">
        <v>201</v>
      </c>
      <c r="E5" s="84"/>
      <c r="I5" s="181" t="s">
        <v>294</v>
      </c>
      <c r="J5" s="182"/>
      <c r="K5" s="276" t="s">
        <v>317</v>
      </c>
      <c r="L5" s="276"/>
      <c r="M5" s="276"/>
      <c r="N5" s="276"/>
      <c r="O5" s="183"/>
      <c r="P5" s="1"/>
      <c r="Q5" s="1"/>
    </row>
    <row r="6" spans="1:18" x14ac:dyDescent="0.25">
      <c r="A6" s="281" t="s">
        <v>206</v>
      </c>
      <c r="B6" s="281"/>
      <c r="C6" s="86"/>
      <c r="D6" s="87" t="s">
        <v>204</v>
      </c>
      <c r="E6" s="88" t="s">
        <v>188</v>
      </c>
      <c r="I6" s="181" t="s">
        <v>295</v>
      </c>
      <c r="J6" s="182"/>
      <c r="K6" s="276" t="s">
        <v>312</v>
      </c>
      <c r="L6" s="276"/>
      <c r="M6" s="184"/>
      <c r="N6" s="184"/>
      <c r="O6" s="185"/>
      <c r="P6" s="1"/>
    </row>
    <row r="7" spans="1:18" x14ac:dyDescent="0.25">
      <c r="A7" s="280" t="s">
        <v>193</v>
      </c>
      <c r="B7" s="280"/>
      <c r="C7" s="280"/>
      <c r="D7" s="87" t="s">
        <v>190</v>
      </c>
      <c r="E7" s="89"/>
      <c r="I7" s="181" t="s">
        <v>296</v>
      </c>
      <c r="J7" s="182"/>
      <c r="K7" s="276" t="s">
        <v>312</v>
      </c>
      <c r="L7" s="276"/>
      <c r="M7" s="184"/>
      <c r="N7" s="184"/>
      <c r="O7" s="185"/>
      <c r="P7" s="1"/>
      <c r="Q7" s="1"/>
    </row>
    <row r="8" spans="1:18" x14ac:dyDescent="0.25">
      <c r="A8" s="280" t="s">
        <v>192</v>
      </c>
      <c r="B8" s="280"/>
      <c r="C8" s="86"/>
      <c r="D8" s="87" t="s">
        <v>189</v>
      </c>
      <c r="E8" s="89"/>
      <c r="I8" s="181" t="s">
        <v>292</v>
      </c>
      <c r="J8" s="182"/>
      <c r="K8" s="276" t="s">
        <v>318</v>
      </c>
      <c r="L8" s="276"/>
      <c r="M8" s="276"/>
      <c r="N8" s="276"/>
      <c r="O8" s="185"/>
      <c r="P8" s="1"/>
      <c r="Q8" s="1"/>
    </row>
    <row r="9" spans="1:18" x14ac:dyDescent="0.25">
      <c r="A9" s="280" t="s">
        <v>199</v>
      </c>
      <c r="B9" s="280"/>
      <c r="C9" s="86"/>
      <c r="D9" s="87" t="s">
        <v>195</v>
      </c>
      <c r="E9" s="89"/>
      <c r="I9" s="181" t="s">
        <v>293</v>
      </c>
      <c r="J9" s="182"/>
      <c r="K9" s="276" t="s">
        <v>313</v>
      </c>
      <c r="L9" s="276"/>
      <c r="M9" s="276"/>
      <c r="N9" s="184"/>
      <c r="O9" s="185"/>
      <c r="P9" s="1"/>
      <c r="Q9" s="1"/>
    </row>
    <row r="10" spans="1:18" x14ac:dyDescent="0.25">
      <c r="A10" s="280" t="s">
        <v>203</v>
      </c>
      <c r="B10" s="280"/>
      <c r="C10" s="86"/>
      <c r="D10" s="87" t="s">
        <v>200</v>
      </c>
      <c r="E10" s="89"/>
      <c r="I10" s="181" t="s">
        <v>314</v>
      </c>
      <c r="J10" s="182"/>
      <c r="K10" s="276" t="s">
        <v>315</v>
      </c>
      <c r="L10" s="276"/>
      <c r="M10" s="276"/>
      <c r="N10" s="276"/>
      <c r="O10" s="276"/>
      <c r="P10" s="1"/>
      <c r="Q10" s="1"/>
    </row>
    <row r="11" spans="1:18" x14ac:dyDescent="0.25">
      <c r="A11" s="280" t="s">
        <v>194</v>
      </c>
      <c r="B11" s="280"/>
      <c r="C11" s="86"/>
      <c r="D11" s="87" t="s">
        <v>191</v>
      </c>
      <c r="E11" s="89"/>
      <c r="I11" s="181" t="s">
        <v>297</v>
      </c>
      <c r="J11" s="182"/>
      <c r="K11" s="276" t="s">
        <v>320</v>
      </c>
      <c r="L11" s="276"/>
      <c r="M11" s="276"/>
      <c r="N11" s="276"/>
      <c r="O11" s="276"/>
    </row>
    <row r="12" spans="1:18" x14ac:dyDescent="0.25">
      <c r="A12" s="280" t="s">
        <v>198</v>
      </c>
      <c r="B12" s="280"/>
      <c r="C12" s="86"/>
      <c r="D12" s="87" t="s">
        <v>196</v>
      </c>
      <c r="E12" s="89"/>
      <c r="I12" s="282" t="s">
        <v>298</v>
      </c>
      <c r="J12" s="182"/>
      <c r="K12" s="279" t="s">
        <v>319</v>
      </c>
      <c r="L12" s="279"/>
      <c r="M12" s="279"/>
      <c r="N12" s="279"/>
      <c r="O12" s="279"/>
      <c r="P12" s="99"/>
      <c r="Q12" s="99"/>
      <c r="R12" s="99"/>
    </row>
    <row r="13" spans="1:18" ht="15.75" x14ac:dyDescent="0.25">
      <c r="A13" s="290" t="s">
        <v>208</v>
      </c>
      <c r="B13" s="291"/>
      <c r="C13" s="291"/>
      <c r="D13" s="291"/>
      <c r="E13" s="292"/>
      <c r="I13" s="282"/>
      <c r="J13" s="182"/>
      <c r="K13" s="279"/>
      <c r="L13" s="279"/>
      <c r="M13" s="279"/>
      <c r="N13" s="279"/>
      <c r="O13" s="279"/>
      <c r="P13" s="102"/>
      <c r="Q13" s="102"/>
      <c r="R13" s="102"/>
    </row>
    <row r="14" spans="1:18" x14ac:dyDescent="0.25">
      <c r="A14" s="280" t="s">
        <v>210</v>
      </c>
      <c r="B14" s="280"/>
      <c r="C14" s="84"/>
      <c r="D14" s="87" t="s">
        <v>211</v>
      </c>
      <c r="E14" s="90"/>
      <c r="I14" s="181" t="s">
        <v>299</v>
      </c>
      <c r="J14" s="182"/>
      <c r="K14" s="276" t="s">
        <v>311</v>
      </c>
      <c r="L14" s="276"/>
      <c r="M14" s="183"/>
      <c r="N14" s="186"/>
      <c r="O14" s="186"/>
      <c r="P14" s="1"/>
      <c r="Q14" s="1"/>
    </row>
    <row r="15" spans="1:18" x14ac:dyDescent="0.25">
      <c r="A15" s="280" t="s">
        <v>216</v>
      </c>
      <c r="B15" s="280"/>
      <c r="C15" s="84"/>
      <c r="D15" s="87" t="s">
        <v>212</v>
      </c>
      <c r="E15" s="91"/>
      <c r="I15" s="181" t="s">
        <v>300</v>
      </c>
      <c r="J15" s="182"/>
      <c r="K15" s="278" t="s">
        <v>322</v>
      </c>
      <c r="L15" s="278"/>
      <c r="M15" s="278"/>
      <c r="N15" s="278"/>
      <c r="O15" s="185"/>
      <c r="P15" s="1"/>
      <c r="Q15" s="1"/>
    </row>
    <row r="16" spans="1:18" x14ac:dyDescent="0.25">
      <c r="A16" s="280" t="s">
        <v>217</v>
      </c>
      <c r="B16" s="280"/>
      <c r="C16" s="84"/>
      <c r="D16" s="87" t="s">
        <v>213</v>
      </c>
      <c r="E16" s="90"/>
      <c r="I16" s="181" t="s">
        <v>301</v>
      </c>
      <c r="J16" s="182"/>
      <c r="K16" s="278" t="s">
        <v>321</v>
      </c>
      <c r="L16" s="278"/>
      <c r="M16" s="278"/>
      <c r="N16" s="278"/>
      <c r="O16" s="185"/>
      <c r="P16" s="1"/>
      <c r="Q16" s="1"/>
    </row>
    <row r="17" spans="1:18" x14ac:dyDescent="0.25">
      <c r="A17" s="280" t="s">
        <v>218</v>
      </c>
      <c r="B17" s="280"/>
      <c r="C17" s="84"/>
      <c r="D17" s="286" t="s">
        <v>215</v>
      </c>
      <c r="E17" s="286"/>
      <c r="I17" s="181" t="s">
        <v>302</v>
      </c>
      <c r="J17" s="182"/>
      <c r="K17" s="276" t="s">
        <v>309</v>
      </c>
      <c r="L17" s="276"/>
      <c r="M17" s="183"/>
      <c r="N17" s="187"/>
      <c r="O17" s="185"/>
      <c r="P17" s="1"/>
      <c r="Q17" s="1"/>
    </row>
    <row r="18" spans="1:18" x14ac:dyDescent="0.25">
      <c r="A18" s="280" t="s">
        <v>219</v>
      </c>
      <c r="B18" s="280"/>
      <c r="C18" s="84"/>
      <c r="D18" s="286" t="s">
        <v>214</v>
      </c>
      <c r="E18" s="286"/>
      <c r="I18" s="181" t="s">
        <v>303</v>
      </c>
      <c r="J18" s="182"/>
      <c r="K18" s="276" t="s">
        <v>310</v>
      </c>
      <c r="L18" s="276"/>
      <c r="M18" s="183"/>
      <c r="N18" s="183"/>
      <c r="O18" s="185"/>
      <c r="P18" s="1"/>
      <c r="Q18" s="1"/>
    </row>
    <row r="19" spans="1:18" x14ac:dyDescent="0.25">
      <c r="A19" s="283" t="s">
        <v>222</v>
      </c>
      <c r="B19" s="284"/>
      <c r="C19" s="285"/>
      <c r="D19" s="87" t="s">
        <v>220</v>
      </c>
      <c r="E19" s="87"/>
      <c r="I19" s="181" t="e">
        <v>#NAME?</v>
      </c>
      <c r="J19" s="182"/>
      <c r="K19" s="276" t="s">
        <v>306</v>
      </c>
      <c r="L19" s="276"/>
      <c r="M19" s="276"/>
      <c r="N19" s="183"/>
      <c r="O19" s="185"/>
      <c r="P19" s="97"/>
      <c r="Q19" s="97"/>
    </row>
    <row r="20" spans="1:18" ht="15" customHeight="1" x14ac:dyDescent="0.25">
      <c r="A20" s="85" t="s">
        <v>225</v>
      </c>
      <c r="B20" s="85"/>
      <c r="C20" s="92"/>
      <c r="D20" s="286" t="s">
        <v>224</v>
      </c>
      <c r="E20" s="286"/>
      <c r="I20" s="181" t="e">
        <v>#VALUE!</v>
      </c>
      <c r="J20" s="182"/>
      <c r="K20" s="276" t="s">
        <v>307</v>
      </c>
      <c r="L20" s="276"/>
      <c r="M20" s="276"/>
      <c r="N20" s="276"/>
      <c r="O20" s="276"/>
      <c r="P20" s="97"/>
      <c r="Q20" s="97"/>
    </row>
    <row r="21" spans="1:18" x14ac:dyDescent="0.25">
      <c r="A21" s="280" t="s">
        <v>223</v>
      </c>
      <c r="B21" s="280"/>
      <c r="C21" s="92"/>
      <c r="D21" s="87" t="s">
        <v>221</v>
      </c>
      <c r="E21" s="87"/>
      <c r="I21" s="181" t="e">
        <v>#NULL!</v>
      </c>
      <c r="J21" s="182"/>
      <c r="K21" s="276" t="s">
        <v>308</v>
      </c>
      <c r="L21" s="276"/>
      <c r="M21" s="276"/>
      <c r="N21" s="276"/>
      <c r="O21" s="276"/>
      <c r="P21" s="96"/>
      <c r="Q21" s="96"/>
      <c r="R21" s="94"/>
    </row>
    <row r="22" spans="1:18" x14ac:dyDescent="0.25">
      <c r="A22" s="280" t="s">
        <v>227</v>
      </c>
      <c r="B22" s="280"/>
      <c r="C22" s="84"/>
      <c r="D22" s="87" t="s">
        <v>226</v>
      </c>
      <c r="E22" s="87"/>
      <c r="H22" s="83"/>
      <c r="I22" s="282" t="s">
        <v>304</v>
      </c>
      <c r="J22" s="182"/>
      <c r="K22" s="279" t="s">
        <v>305</v>
      </c>
      <c r="L22" s="279"/>
      <c r="M22" s="279"/>
      <c r="N22" s="279"/>
      <c r="O22" s="279"/>
      <c r="P22" s="96"/>
      <c r="Q22" s="95"/>
    </row>
    <row r="23" spans="1:18" ht="15.75" x14ac:dyDescent="0.25">
      <c r="A23" s="290" t="s">
        <v>228</v>
      </c>
      <c r="B23" s="291"/>
      <c r="C23" s="291"/>
      <c r="D23" s="291"/>
      <c r="E23" s="292"/>
      <c r="I23" s="282"/>
      <c r="J23" s="182"/>
      <c r="K23" s="279"/>
      <c r="L23" s="279"/>
      <c r="M23" s="279"/>
      <c r="N23" s="279"/>
      <c r="O23" s="279"/>
      <c r="P23" s="95"/>
    </row>
    <row r="24" spans="1:18" x14ac:dyDescent="0.25">
      <c r="A24" s="85" t="s">
        <v>257</v>
      </c>
      <c r="B24" s="85"/>
      <c r="C24" s="84"/>
      <c r="D24" s="87" t="s">
        <v>251</v>
      </c>
      <c r="E24" s="84"/>
      <c r="I24" s="188" t="s">
        <v>327</v>
      </c>
      <c r="J24" s="182"/>
      <c r="K24" s="277" t="s">
        <v>323</v>
      </c>
      <c r="L24" s="277"/>
      <c r="M24" s="277"/>
      <c r="N24" s="184"/>
      <c r="O24" s="184"/>
      <c r="P24" s="100"/>
    </row>
    <row r="25" spans="1:18" x14ac:dyDescent="0.25">
      <c r="A25" s="85" t="s">
        <v>258</v>
      </c>
      <c r="B25" s="85"/>
      <c r="C25" s="84"/>
      <c r="D25" s="87" t="s">
        <v>252</v>
      </c>
      <c r="E25" s="84"/>
      <c r="I25" s="188" t="s">
        <v>328</v>
      </c>
      <c r="J25" s="182"/>
      <c r="K25" s="277" t="s">
        <v>324</v>
      </c>
      <c r="L25" s="277"/>
      <c r="M25" s="277"/>
      <c r="N25" s="277"/>
      <c r="O25" s="189"/>
      <c r="P25" s="100"/>
    </row>
    <row r="26" spans="1:18" x14ac:dyDescent="0.25">
      <c r="A26" s="85" t="s">
        <v>254</v>
      </c>
      <c r="B26" s="85"/>
      <c r="C26" s="84"/>
      <c r="D26" s="87" t="s">
        <v>253</v>
      </c>
      <c r="E26" s="84"/>
      <c r="I26" s="188" t="s">
        <v>329</v>
      </c>
      <c r="J26" s="182"/>
      <c r="K26" s="277" t="s">
        <v>325</v>
      </c>
      <c r="L26" s="277"/>
      <c r="M26" s="277"/>
      <c r="N26" s="277"/>
      <c r="O26" s="189"/>
      <c r="P26" s="100"/>
    </row>
    <row r="27" spans="1:18" x14ac:dyDescent="0.25">
      <c r="A27" s="85" t="s">
        <v>256</v>
      </c>
      <c r="B27" s="85"/>
      <c r="C27" s="84"/>
      <c r="D27" s="87" t="s">
        <v>255</v>
      </c>
      <c r="E27" s="84"/>
      <c r="I27" s="188" t="s">
        <v>330</v>
      </c>
      <c r="J27" s="182"/>
      <c r="K27" s="277" t="s">
        <v>326</v>
      </c>
      <c r="L27" s="277"/>
      <c r="M27" s="277"/>
      <c r="N27" s="189"/>
      <c r="O27" s="189"/>
      <c r="P27" s="100"/>
    </row>
    <row r="28" spans="1:18" x14ac:dyDescent="0.25">
      <c r="A28" s="85" t="s">
        <v>260</v>
      </c>
      <c r="B28" s="85"/>
      <c r="C28" s="84"/>
      <c r="D28" s="87" t="s">
        <v>259</v>
      </c>
      <c r="E28" s="84"/>
      <c r="N28" s="101"/>
      <c r="O28" s="101"/>
    </row>
    <row r="29" spans="1:18" x14ac:dyDescent="0.25">
      <c r="A29" s="85" t="s">
        <v>262</v>
      </c>
      <c r="B29" s="85"/>
      <c r="C29" s="84"/>
      <c r="D29" s="87" t="s">
        <v>261</v>
      </c>
      <c r="E29" s="84"/>
    </row>
    <row r="30" spans="1:18" x14ac:dyDescent="0.25">
      <c r="A30" s="85" t="s">
        <v>264</v>
      </c>
      <c r="B30" s="85"/>
      <c r="C30" s="84"/>
      <c r="D30" s="87" t="s">
        <v>263</v>
      </c>
      <c r="E30" s="84"/>
    </row>
    <row r="31" spans="1:18" x14ac:dyDescent="0.25">
      <c r="A31" s="280" t="s">
        <v>266</v>
      </c>
      <c r="B31" s="280"/>
      <c r="C31" s="84"/>
      <c r="D31" s="87" t="s">
        <v>265</v>
      </c>
      <c r="E31" s="84"/>
    </row>
    <row r="32" spans="1:18" x14ac:dyDescent="0.25">
      <c r="A32" s="280" t="s">
        <v>268</v>
      </c>
      <c r="B32" s="280"/>
      <c r="C32" s="84"/>
      <c r="D32" s="87" t="s">
        <v>267</v>
      </c>
      <c r="E32" s="84"/>
    </row>
    <row r="33" spans="1:13" x14ac:dyDescent="0.25">
      <c r="A33" s="280" t="s">
        <v>230</v>
      </c>
      <c r="B33" s="280"/>
      <c r="C33" s="84"/>
      <c r="D33" s="87" t="s">
        <v>229</v>
      </c>
      <c r="E33" s="84"/>
    </row>
    <row r="34" spans="1:13" x14ac:dyDescent="0.25">
      <c r="A34" s="280" t="s">
        <v>232</v>
      </c>
      <c r="B34" s="280"/>
      <c r="C34" s="84"/>
      <c r="D34" s="87" t="s">
        <v>231</v>
      </c>
      <c r="E34" s="84"/>
    </row>
    <row r="35" spans="1:13" x14ac:dyDescent="0.25">
      <c r="A35" s="280" t="s">
        <v>234</v>
      </c>
      <c r="B35" s="280"/>
      <c r="C35" s="84"/>
      <c r="D35" s="87" t="s">
        <v>233</v>
      </c>
      <c r="E35" s="84"/>
    </row>
    <row r="36" spans="1:13" ht="15.75" x14ac:dyDescent="0.25">
      <c r="A36" s="290" t="s">
        <v>269</v>
      </c>
      <c r="B36" s="291"/>
      <c r="C36" s="291"/>
      <c r="D36" s="291"/>
      <c r="E36" s="292"/>
    </row>
    <row r="37" spans="1:13" x14ac:dyDescent="0.25">
      <c r="A37" s="280" t="s">
        <v>236</v>
      </c>
      <c r="B37" s="280"/>
      <c r="C37" s="92"/>
      <c r="D37" s="87" t="s">
        <v>235</v>
      </c>
      <c r="E37" s="87"/>
    </row>
    <row r="38" spans="1:13" ht="27" customHeight="1" x14ac:dyDescent="0.25">
      <c r="A38" s="280" t="s">
        <v>238</v>
      </c>
      <c r="B38" s="280"/>
      <c r="C38" s="280"/>
      <c r="D38" s="87" t="s">
        <v>237</v>
      </c>
      <c r="E38" s="87"/>
    </row>
    <row r="39" spans="1:13" x14ac:dyDescent="0.25">
      <c r="A39" s="280" t="s">
        <v>240</v>
      </c>
      <c r="B39" s="280"/>
      <c r="C39" s="92"/>
      <c r="D39" s="87" t="s">
        <v>239</v>
      </c>
      <c r="E39" s="87"/>
    </row>
    <row r="40" spans="1:13" x14ac:dyDescent="0.25">
      <c r="A40" s="280" t="s">
        <v>242</v>
      </c>
      <c r="B40" s="280"/>
      <c r="C40" s="92"/>
      <c r="D40" s="87" t="s">
        <v>241</v>
      </c>
      <c r="E40" s="87"/>
    </row>
    <row r="41" spans="1:13" x14ac:dyDescent="0.25">
      <c r="A41" s="280" t="s">
        <v>244</v>
      </c>
      <c r="B41" s="280"/>
      <c r="C41" s="280"/>
      <c r="D41" s="87" t="s">
        <v>243</v>
      </c>
      <c r="E41" s="87"/>
    </row>
    <row r="42" spans="1:13" x14ac:dyDescent="0.25">
      <c r="A42" s="280" t="s">
        <v>246</v>
      </c>
      <c r="B42" s="280"/>
      <c r="C42" s="280"/>
      <c r="D42" s="87" t="s">
        <v>245</v>
      </c>
      <c r="E42" s="87"/>
    </row>
    <row r="43" spans="1:13" x14ac:dyDescent="0.25">
      <c r="A43" s="280" t="s">
        <v>248</v>
      </c>
      <c r="B43" s="280"/>
      <c r="C43" s="280"/>
      <c r="D43" s="87" t="s">
        <v>247</v>
      </c>
      <c r="E43" s="87"/>
    </row>
    <row r="44" spans="1:13" ht="26.25" customHeight="1" x14ac:dyDescent="0.25">
      <c r="A44" s="280" t="s">
        <v>250</v>
      </c>
      <c r="B44" s="280"/>
      <c r="C44" s="280"/>
      <c r="D44" s="87" t="s">
        <v>249</v>
      </c>
      <c r="E44" s="87"/>
      <c r="M44" s="81"/>
    </row>
    <row r="45" spans="1:13" x14ac:dyDescent="0.25">
      <c r="A45" s="85" t="s">
        <v>277</v>
      </c>
      <c r="B45" s="85"/>
      <c r="C45" s="85"/>
      <c r="D45" s="87" t="s">
        <v>270</v>
      </c>
      <c r="E45" s="84"/>
      <c r="M45" s="82"/>
    </row>
    <row r="46" spans="1:13" x14ac:dyDescent="0.25">
      <c r="A46" s="85" t="s">
        <v>276</v>
      </c>
      <c r="B46" s="85"/>
      <c r="C46" s="85"/>
      <c r="D46" s="87" t="s">
        <v>271</v>
      </c>
      <c r="E46" s="84"/>
      <c r="M46" s="82"/>
    </row>
    <row r="47" spans="1:13" x14ac:dyDescent="0.25">
      <c r="A47" s="85" t="s">
        <v>275</v>
      </c>
      <c r="B47" s="85"/>
      <c r="C47" s="85"/>
      <c r="D47" s="87" t="s">
        <v>272</v>
      </c>
      <c r="E47" s="84"/>
      <c r="M47" s="82"/>
    </row>
    <row r="48" spans="1:13" x14ac:dyDescent="0.25">
      <c r="A48" s="280" t="s">
        <v>273</v>
      </c>
      <c r="B48" s="280"/>
      <c r="C48" s="85"/>
      <c r="D48" s="286" t="s">
        <v>274</v>
      </c>
      <c r="E48" s="286"/>
      <c r="M48" s="82"/>
    </row>
    <row r="49" spans="1:5" x14ac:dyDescent="0.25">
      <c r="A49" s="280" t="s">
        <v>280</v>
      </c>
      <c r="B49" s="280"/>
      <c r="C49" s="280"/>
      <c r="D49" s="87" t="s">
        <v>278</v>
      </c>
      <c r="E49" s="84"/>
    </row>
    <row r="50" spans="1:5" x14ac:dyDescent="0.25">
      <c r="A50" s="280" t="s">
        <v>281</v>
      </c>
      <c r="B50" s="280"/>
      <c r="C50" s="85"/>
      <c r="D50" s="87" t="s">
        <v>279</v>
      </c>
      <c r="E50" s="84"/>
    </row>
    <row r="51" spans="1:5" x14ac:dyDescent="0.25">
      <c r="A51" s="85" t="s">
        <v>283</v>
      </c>
      <c r="B51" s="85"/>
      <c r="C51" s="85"/>
      <c r="D51" s="87" t="s">
        <v>282</v>
      </c>
      <c r="E51" s="84"/>
    </row>
    <row r="52" spans="1:5" x14ac:dyDescent="0.25">
      <c r="A52" s="280" t="s">
        <v>285</v>
      </c>
      <c r="B52" s="280"/>
      <c r="C52" s="85"/>
      <c r="D52" s="286" t="s">
        <v>284</v>
      </c>
      <c r="E52" s="286"/>
    </row>
    <row r="53" spans="1:5" x14ac:dyDescent="0.25">
      <c r="A53" s="280" t="s">
        <v>287</v>
      </c>
      <c r="B53" s="280"/>
      <c r="C53" s="85"/>
      <c r="D53" s="286" t="s">
        <v>286</v>
      </c>
      <c r="E53" s="286"/>
    </row>
    <row r="70" ht="15" customHeight="1" x14ac:dyDescent="0.25"/>
    <row r="71" ht="15" customHeight="1" x14ac:dyDescent="0.25"/>
  </sheetData>
  <mergeCells count="73">
    <mergeCell ref="A1:E1"/>
    <mergeCell ref="A2:E2"/>
    <mergeCell ref="A13:E13"/>
    <mergeCell ref="A23:E23"/>
    <mergeCell ref="A36:E36"/>
    <mergeCell ref="A35:B35"/>
    <mergeCell ref="A31:B31"/>
    <mergeCell ref="A32:B32"/>
    <mergeCell ref="A33:B33"/>
    <mergeCell ref="A34:B34"/>
    <mergeCell ref="D20:E20"/>
    <mergeCell ref="A22:B22"/>
    <mergeCell ref="A21:B21"/>
    <mergeCell ref="A16:B16"/>
    <mergeCell ref="A17:B17"/>
    <mergeCell ref="A4:C4"/>
    <mergeCell ref="D53:E53"/>
    <mergeCell ref="A49:C49"/>
    <mergeCell ref="A50:B50"/>
    <mergeCell ref="A52:B52"/>
    <mergeCell ref="A53:B53"/>
    <mergeCell ref="A48:B48"/>
    <mergeCell ref="D48:E48"/>
    <mergeCell ref="D52:E52"/>
    <mergeCell ref="A37:B37"/>
    <mergeCell ref="A38:C38"/>
    <mergeCell ref="A39:B39"/>
    <mergeCell ref="A41:C41"/>
    <mergeCell ref="A42:C42"/>
    <mergeCell ref="A43:C43"/>
    <mergeCell ref="A44:C44"/>
    <mergeCell ref="A40:B40"/>
    <mergeCell ref="A5:B5"/>
    <mergeCell ref="A6:B6"/>
    <mergeCell ref="I12:I13"/>
    <mergeCell ref="A19:C19"/>
    <mergeCell ref="I22:I23"/>
    <mergeCell ref="A8:B8"/>
    <mergeCell ref="A11:B11"/>
    <mergeCell ref="A9:B9"/>
    <mergeCell ref="A12:B12"/>
    <mergeCell ref="A10:B10"/>
    <mergeCell ref="A18:B18"/>
    <mergeCell ref="D17:E17"/>
    <mergeCell ref="D18:E18"/>
    <mergeCell ref="A7:C7"/>
    <mergeCell ref="A14:B14"/>
    <mergeCell ref="A15:B15"/>
    <mergeCell ref="K11:O11"/>
    <mergeCell ref="K5:N5"/>
    <mergeCell ref="K6:L6"/>
    <mergeCell ref="K7:L7"/>
    <mergeCell ref="K9:M9"/>
    <mergeCell ref="K12:O13"/>
    <mergeCell ref="K17:L17"/>
    <mergeCell ref="K18:L18"/>
    <mergeCell ref="K19:M19"/>
    <mergeCell ref="K20:O20"/>
    <mergeCell ref="K26:N26"/>
    <mergeCell ref="K27:M27"/>
    <mergeCell ref="K14:L14"/>
    <mergeCell ref="K16:N16"/>
    <mergeCell ref="K15:N15"/>
    <mergeCell ref="K24:M24"/>
    <mergeCell ref="K25:N25"/>
    <mergeCell ref="K21:O21"/>
    <mergeCell ref="K22:O23"/>
    <mergeCell ref="I1:O2"/>
    <mergeCell ref="K3:O3"/>
    <mergeCell ref="K4:N4"/>
    <mergeCell ref="K8:N8"/>
    <mergeCell ref="K10:O10"/>
    <mergeCell ref="I3:J3"/>
  </mergeCells>
  <pageMargins left="0.7" right="0.7" top="0.75" bottom="0.75" header="0.3" footer="0.3"/>
  <pageSetup orientation="portrait" horizontalDpi="300" verticalDpi="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6AA597-F493-4689-83AB-27FB463C0228}">
  <sheetPr codeName="Sheet2"/>
  <dimension ref="A1:L29"/>
  <sheetViews>
    <sheetView zoomScale="85" zoomScaleNormal="85" workbookViewId="0"/>
  </sheetViews>
  <sheetFormatPr defaultRowHeight="15" x14ac:dyDescent="0.25"/>
  <cols>
    <col min="1" max="1" width="10.5703125" bestFit="1" customWidth="1"/>
    <col min="2" max="2" width="27.5703125" bestFit="1" customWidth="1"/>
    <col min="3" max="3" width="14" bestFit="1" customWidth="1"/>
    <col min="4" max="4" width="35.28515625" bestFit="1" customWidth="1"/>
    <col min="5" max="5" width="17.85546875" bestFit="1" customWidth="1"/>
    <col min="6" max="6" width="29.28515625" bestFit="1" customWidth="1"/>
    <col min="7" max="7" width="14.5703125" bestFit="1" customWidth="1"/>
  </cols>
  <sheetData>
    <row r="1" spans="1:12" x14ac:dyDescent="0.25">
      <c r="A1" t="s">
        <v>0</v>
      </c>
      <c r="B1" t="s">
        <v>20</v>
      </c>
      <c r="C1" t="s">
        <v>48</v>
      </c>
      <c r="D1" s="5" t="s">
        <v>49</v>
      </c>
      <c r="E1" t="s">
        <v>66</v>
      </c>
      <c r="F1" t="s">
        <v>67</v>
      </c>
      <c r="G1" t="s">
        <v>108</v>
      </c>
    </row>
    <row r="2" spans="1:12" x14ac:dyDescent="0.25">
      <c r="A2" s="2" t="s">
        <v>57</v>
      </c>
      <c r="B2" s="1" t="s">
        <v>58</v>
      </c>
      <c r="C2" s="2" t="s">
        <v>62</v>
      </c>
      <c r="D2" s="7" t="s">
        <v>65</v>
      </c>
      <c r="E2" s="24" t="s">
        <v>84</v>
      </c>
      <c r="F2" s="7" t="s">
        <v>85</v>
      </c>
      <c r="G2" s="2"/>
    </row>
    <row r="3" spans="1:12" x14ac:dyDescent="0.25">
      <c r="A3" s="2" t="s">
        <v>56</v>
      </c>
      <c r="B3" s="1" t="s">
        <v>59</v>
      </c>
      <c r="C3" s="2" t="s">
        <v>62</v>
      </c>
      <c r="D3" s="7" t="s">
        <v>65</v>
      </c>
      <c r="E3" s="24" t="s">
        <v>86</v>
      </c>
      <c r="F3" s="7" t="s">
        <v>87</v>
      </c>
      <c r="G3" s="2"/>
    </row>
    <row r="4" spans="1:12" x14ac:dyDescent="0.25">
      <c r="A4" s="2" t="s">
        <v>1</v>
      </c>
      <c r="B4" s="1" t="s">
        <v>27</v>
      </c>
      <c r="C4" s="2" t="s">
        <v>63</v>
      </c>
      <c r="D4" s="7" t="s">
        <v>64</v>
      </c>
      <c r="E4" s="24" t="s">
        <v>68</v>
      </c>
      <c r="F4" s="7" t="s">
        <v>88</v>
      </c>
      <c r="G4" s="2" t="s">
        <v>109</v>
      </c>
    </row>
    <row r="5" spans="1:12" x14ac:dyDescent="0.25">
      <c r="A5" s="2" t="s">
        <v>2</v>
      </c>
      <c r="B5" s="1" t="s">
        <v>28</v>
      </c>
      <c r="C5" s="2" t="s">
        <v>63</v>
      </c>
      <c r="D5" s="7" t="s">
        <v>64</v>
      </c>
      <c r="E5" s="24" t="s">
        <v>69</v>
      </c>
      <c r="F5" s="7" t="s">
        <v>89</v>
      </c>
      <c r="G5" s="2"/>
    </row>
    <row r="6" spans="1:12" x14ac:dyDescent="0.25">
      <c r="A6" s="2" t="s">
        <v>3</v>
      </c>
      <c r="B6" s="1" t="s">
        <v>29</v>
      </c>
      <c r="C6" s="2" t="s">
        <v>63</v>
      </c>
      <c r="D6" s="7" t="s">
        <v>64</v>
      </c>
      <c r="E6" s="24"/>
      <c r="F6" s="7" t="s">
        <v>90</v>
      </c>
      <c r="G6" s="2"/>
    </row>
    <row r="7" spans="1:12" x14ac:dyDescent="0.25">
      <c r="A7" s="2" t="s">
        <v>4</v>
      </c>
      <c r="B7" s="1" t="s">
        <v>30</v>
      </c>
      <c r="C7" s="2" t="s">
        <v>63</v>
      </c>
      <c r="D7" s="7" t="s">
        <v>64</v>
      </c>
      <c r="E7" s="24" t="s">
        <v>70</v>
      </c>
      <c r="F7" s="7" t="s">
        <v>91</v>
      </c>
      <c r="G7" s="2" t="s">
        <v>110</v>
      </c>
    </row>
    <row r="8" spans="1:12" s="21" customFormat="1" x14ac:dyDescent="0.25">
      <c r="A8" s="3" t="s">
        <v>5</v>
      </c>
      <c r="B8" s="6" t="s">
        <v>31</v>
      </c>
      <c r="C8" s="4"/>
      <c r="D8" s="8"/>
      <c r="E8" s="25"/>
      <c r="F8" s="8"/>
      <c r="G8" s="4"/>
    </row>
    <row r="9" spans="1:12" s="21" customFormat="1" x14ac:dyDescent="0.25">
      <c r="A9" s="2" t="s">
        <v>6</v>
      </c>
      <c r="B9" s="1" t="s">
        <v>32</v>
      </c>
      <c r="C9" s="2" t="s">
        <v>63</v>
      </c>
      <c r="D9" s="7" t="s">
        <v>64</v>
      </c>
      <c r="E9" s="24" t="s">
        <v>71</v>
      </c>
      <c r="F9" s="7" t="s">
        <v>92</v>
      </c>
      <c r="G9" s="2" t="s">
        <v>111</v>
      </c>
    </row>
    <row r="10" spans="1:12" s="21" customFormat="1" x14ac:dyDescent="0.25">
      <c r="A10" s="2" t="s">
        <v>7</v>
      </c>
      <c r="B10" s="1" t="s">
        <v>33</v>
      </c>
      <c r="C10" s="2" t="s">
        <v>63</v>
      </c>
      <c r="D10" s="7" t="s">
        <v>64</v>
      </c>
      <c r="E10" s="24" t="s">
        <v>72</v>
      </c>
      <c r="F10" s="7" t="s">
        <v>93</v>
      </c>
      <c r="G10" s="2"/>
      <c r="L10" s="26"/>
    </row>
    <row r="11" spans="1:12" s="21" customFormat="1" x14ac:dyDescent="0.25">
      <c r="A11" s="2" t="s">
        <v>8</v>
      </c>
      <c r="B11" s="1" t="s">
        <v>34</v>
      </c>
      <c r="C11" s="2" t="s">
        <v>63</v>
      </c>
      <c r="D11" s="7" t="s">
        <v>64</v>
      </c>
      <c r="E11" s="24" t="s">
        <v>73</v>
      </c>
      <c r="F11" s="7" t="s">
        <v>94</v>
      </c>
      <c r="G11" s="2" t="s">
        <v>112</v>
      </c>
    </row>
    <row r="12" spans="1:12" s="21" customFormat="1" x14ac:dyDescent="0.25">
      <c r="A12" s="2" t="s">
        <v>9</v>
      </c>
      <c r="B12" s="1" t="s">
        <v>35</v>
      </c>
      <c r="C12" s="2" t="s">
        <v>63</v>
      </c>
      <c r="D12" s="7" t="s">
        <v>64</v>
      </c>
      <c r="E12" s="24" t="s">
        <v>74</v>
      </c>
      <c r="F12" s="7" t="s">
        <v>95</v>
      </c>
      <c r="G12" s="2" t="s">
        <v>113</v>
      </c>
    </row>
    <row r="13" spans="1:12" s="21" customFormat="1" x14ac:dyDescent="0.25">
      <c r="A13" s="2" t="s">
        <v>10</v>
      </c>
      <c r="B13" s="1" t="s">
        <v>36</v>
      </c>
      <c r="C13" s="2" t="s">
        <v>63</v>
      </c>
      <c r="D13" s="7" t="s">
        <v>64</v>
      </c>
      <c r="E13" s="24" t="s">
        <v>75</v>
      </c>
      <c r="F13" s="7" t="s">
        <v>96</v>
      </c>
      <c r="G13" s="2"/>
    </row>
    <row r="14" spans="1:12" s="21" customFormat="1" x14ac:dyDescent="0.25">
      <c r="A14" s="4" t="s">
        <v>11</v>
      </c>
      <c r="B14" s="6" t="s">
        <v>31</v>
      </c>
      <c r="C14" s="4"/>
      <c r="D14" s="8"/>
      <c r="E14" s="25"/>
      <c r="F14" s="8"/>
      <c r="G14" s="4"/>
    </row>
    <row r="15" spans="1:12" s="21" customFormat="1" x14ac:dyDescent="0.25">
      <c r="A15" s="2" t="s">
        <v>12</v>
      </c>
      <c r="B15" s="1" t="s">
        <v>37</v>
      </c>
      <c r="C15" s="2" t="s">
        <v>63</v>
      </c>
      <c r="D15" s="7" t="s">
        <v>64</v>
      </c>
      <c r="E15" s="24" t="s">
        <v>76</v>
      </c>
      <c r="F15" s="7" t="s">
        <v>97</v>
      </c>
      <c r="G15" s="2" t="s">
        <v>114</v>
      </c>
    </row>
    <row r="16" spans="1:12" s="21" customFormat="1" x14ac:dyDescent="0.25">
      <c r="A16" s="2" t="s">
        <v>13</v>
      </c>
      <c r="B16" s="1" t="s">
        <v>38</v>
      </c>
      <c r="C16" s="2" t="s">
        <v>63</v>
      </c>
      <c r="D16" s="7" t="s">
        <v>64</v>
      </c>
      <c r="E16" s="24"/>
      <c r="F16" s="7" t="s">
        <v>98</v>
      </c>
      <c r="G16" s="2"/>
    </row>
    <row r="17" spans="1:7" s="21" customFormat="1" x14ac:dyDescent="0.25">
      <c r="A17" s="2" t="s">
        <v>14</v>
      </c>
      <c r="B17" s="1" t="s">
        <v>39</v>
      </c>
      <c r="C17" s="2" t="s">
        <v>63</v>
      </c>
      <c r="D17" s="7" t="s">
        <v>64</v>
      </c>
      <c r="E17" s="24"/>
      <c r="F17" s="7" t="s">
        <v>99</v>
      </c>
      <c r="G17" s="2"/>
    </row>
    <row r="18" spans="1:7" s="21" customFormat="1" x14ac:dyDescent="0.25">
      <c r="A18" s="2" t="s">
        <v>15</v>
      </c>
      <c r="B18" s="1" t="s">
        <v>40</v>
      </c>
      <c r="C18" s="2" t="s">
        <v>63</v>
      </c>
      <c r="D18" s="7" t="s">
        <v>64</v>
      </c>
      <c r="E18" s="24"/>
      <c r="F18" s="7" t="s">
        <v>100</v>
      </c>
      <c r="G18" s="2"/>
    </row>
    <row r="19" spans="1:7" s="21" customFormat="1" x14ac:dyDescent="0.25">
      <c r="A19" s="4" t="s">
        <v>16</v>
      </c>
      <c r="B19" s="6" t="s">
        <v>31</v>
      </c>
      <c r="C19" s="4"/>
      <c r="D19" s="8"/>
      <c r="E19" s="25"/>
      <c r="F19" s="8"/>
      <c r="G19" s="4"/>
    </row>
    <row r="20" spans="1:7" x14ac:dyDescent="0.25">
      <c r="A20" s="2" t="s">
        <v>17</v>
      </c>
      <c r="B20" s="1" t="s">
        <v>41</v>
      </c>
      <c r="C20" s="2" t="s">
        <v>63</v>
      </c>
      <c r="D20" s="7" t="s">
        <v>64</v>
      </c>
      <c r="E20" s="24" t="s">
        <v>77</v>
      </c>
      <c r="F20" s="7" t="s">
        <v>101</v>
      </c>
      <c r="G20" s="2"/>
    </row>
    <row r="21" spans="1:7" x14ac:dyDescent="0.25">
      <c r="A21" s="2" t="s">
        <v>18</v>
      </c>
      <c r="B21" s="1" t="s">
        <v>42</v>
      </c>
      <c r="C21" s="2" t="s">
        <v>63</v>
      </c>
      <c r="D21" s="7" t="s">
        <v>64</v>
      </c>
      <c r="E21" s="24" t="s">
        <v>78</v>
      </c>
      <c r="F21" s="7" t="s">
        <v>102</v>
      </c>
      <c r="G21" s="2"/>
    </row>
    <row r="22" spans="1:7" x14ac:dyDescent="0.25">
      <c r="A22" s="2" t="s">
        <v>19</v>
      </c>
      <c r="B22" s="1" t="s">
        <v>43</v>
      </c>
      <c r="C22" s="2" t="s">
        <v>63</v>
      </c>
      <c r="D22" s="7" t="s">
        <v>64</v>
      </c>
      <c r="E22" s="24" t="s">
        <v>79</v>
      </c>
      <c r="F22" s="7" t="s">
        <v>103</v>
      </c>
      <c r="G22" s="2"/>
    </row>
    <row r="23" spans="1:7" x14ac:dyDescent="0.25">
      <c r="A23" s="2" t="s">
        <v>23</v>
      </c>
      <c r="B23" s="1" t="s">
        <v>44</v>
      </c>
      <c r="C23" s="2" t="s">
        <v>63</v>
      </c>
      <c r="D23" s="7" t="s">
        <v>64</v>
      </c>
      <c r="E23" s="24"/>
      <c r="F23" s="7"/>
      <c r="G23" s="2"/>
    </row>
    <row r="24" spans="1:7" x14ac:dyDescent="0.25">
      <c r="A24" s="2" t="s">
        <v>24</v>
      </c>
      <c r="B24" s="1" t="s">
        <v>45</v>
      </c>
      <c r="C24" s="2" t="s">
        <v>63</v>
      </c>
      <c r="D24" s="7" t="s">
        <v>64</v>
      </c>
      <c r="E24" s="24" t="s">
        <v>82</v>
      </c>
      <c r="F24" s="7" t="s">
        <v>104</v>
      </c>
      <c r="G24" s="2"/>
    </row>
    <row r="25" spans="1:7" x14ac:dyDescent="0.25">
      <c r="A25" s="2" t="s">
        <v>25</v>
      </c>
      <c r="B25" s="1" t="s">
        <v>46</v>
      </c>
      <c r="C25" s="2" t="s">
        <v>63</v>
      </c>
      <c r="D25" s="7" t="s">
        <v>64</v>
      </c>
      <c r="E25" s="24" t="s">
        <v>81</v>
      </c>
      <c r="F25" s="7" t="s">
        <v>105</v>
      </c>
      <c r="G25" s="2"/>
    </row>
    <row r="26" spans="1:7" x14ac:dyDescent="0.25">
      <c r="A26" s="2" t="s">
        <v>26</v>
      </c>
      <c r="B26" s="1" t="s">
        <v>47</v>
      </c>
      <c r="C26" s="2" t="s">
        <v>63</v>
      </c>
      <c r="D26" s="7" t="s">
        <v>64</v>
      </c>
      <c r="E26" s="24" t="s">
        <v>83</v>
      </c>
      <c r="F26" s="7" t="s">
        <v>106</v>
      </c>
      <c r="G26" s="2"/>
    </row>
    <row r="27" spans="1:7" x14ac:dyDescent="0.25">
      <c r="A27" s="2" t="s">
        <v>50</v>
      </c>
      <c r="B27" s="1" t="s">
        <v>51</v>
      </c>
      <c r="C27" s="2" t="s">
        <v>52</v>
      </c>
      <c r="D27" s="7" t="s">
        <v>64</v>
      </c>
      <c r="E27" s="24"/>
      <c r="F27" s="7"/>
      <c r="G27" s="2"/>
    </row>
    <row r="28" spans="1:7" x14ac:dyDescent="0.25">
      <c r="A28" s="2" t="s">
        <v>53</v>
      </c>
      <c r="B28" s="1" t="s">
        <v>54</v>
      </c>
      <c r="C28" s="2" t="s">
        <v>55</v>
      </c>
      <c r="D28" s="7" t="s">
        <v>64</v>
      </c>
      <c r="E28" s="24"/>
      <c r="F28" s="7"/>
      <c r="G28" s="2"/>
    </row>
    <row r="29" spans="1:7" x14ac:dyDescent="0.25">
      <c r="A29" s="2" t="s">
        <v>60</v>
      </c>
      <c r="B29" s="1" t="s">
        <v>61</v>
      </c>
      <c r="C29" s="2" t="s">
        <v>55</v>
      </c>
      <c r="D29" s="7" t="s">
        <v>64</v>
      </c>
      <c r="E29" s="24" t="s">
        <v>80</v>
      </c>
      <c r="F29" s="7" t="s">
        <v>107</v>
      </c>
      <c r="G29" s="2"/>
    </row>
  </sheetData>
  <phoneticPr fontId="1" type="noConversion"/>
  <pageMargins left="0.7" right="0.7" top="0.75" bottom="0.75" header="0.3" footer="0.3"/>
  <pageSetup orientation="portrait" horizontalDpi="300" verticalDpi="0" r:id="rId1"/>
  <drawing r:id="rId2"/>
  <tableParts count="1">
    <tablePart r:id="rId3"/>
  </tableParts>
  <extLst>
    <ext xmlns:x15="http://schemas.microsoft.com/office/spreadsheetml/2010/11/main" uri="{3A4CF648-6AED-40f4-86FF-DC5316D8AED3}">
      <x14:slicerList xmlns:x14="http://schemas.microsoft.com/office/spreadsheetml/2009/9/main">
        <x14:slicer r:id="rId4"/>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1DDD91-DD69-4A9E-941C-A12CF95AAD7B}">
  <dimension ref="A13:V241"/>
  <sheetViews>
    <sheetView zoomScale="85" zoomScaleNormal="85" workbookViewId="0"/>
  </sheetViews>
  <sheetFormatPr defaultRowHeight="15" x14ac:dyDescent="0.25"/>
  <cols>
    <col min="1" max="1" width="10.5703125" bestFit="1" customWidth="1"/>
    <col min="2" max="2" width="27.5703125" bestFit="1" customWidth="1"/>
    <col min="3" max="3" width="20.7109375" bestFit="1" customWidth="1"/>
    <col min="4" max="4" width="26.7109375" bestFit="1" customWidth="1"/>
    <col min="5" max="5" width="40.85546875" bestFit="1" customWidth="1"/>
    <col min="6" max="6" width="17.5703125" bestFit="1" customWidth="1"/>
    <col min="7" max="7" width="23.140625" bestFit="1" customWidth="1"/>
    <col min="8" max="8" width="37.28515625" bestFit="1" customWidth="1"/>
    <col min="9" max="9" width="25.5703125" bestFit="1" customWidth="1"/>
    <col min="10" max="10" width="31.5703125" bestFit="1" customWidth="1"/>
    <col min="11" max="11" width="45.7109375" bestFit="1" customWidth="1"/>
    <col min="12" max="12" width="33.28515625" bestFit="1" customWidth="1"/>
    <col min="13" max="13" width="39.28515625" bestFit="1" customWidth="1"/>
    <col min="14" max="14" width="53.42578125" bestFit="1" customWidth="1"/>
    <col min="15" max="15" width="34.85546875" bestFit="1" customWidth="1"/>
    <col min="16" max="17" width="21.7109375" bestFit="1" customWidth="1"/>
    <col min="18" max="18" width="13.7109375" bestFit="1" customWidth="1"/>
    <col min="19" max="19" width="13.85546875" customWidth="1"/>
    <col min="20" max="20" width="18" bestFit="1" customWidth="1"/>
    <col min="22" max="16384" width="9.140625" style="21"/>
  </cols>
  <sheetData>
    <row r="13" spans="1:17" ht="15" customHeight="1" x14ac:dyDescent="0.25">
      <c r="A13" s="297" t="s">
        <v>379</v>
      </c>
      <c r="B13" s="297"/>
      <c r="C13" s="297"/>
      <c r="D13" s="297"/>
      <c r="E13" s="297"/>
      <c r="F13" s="297"/>
      <c r="G13" s="297"/>
      <c r="H13" s="297"/>
      <c r="I13" s="297"/>
      <c r="J13" s="297"/>
      <c r="K13" s="297"/>
      <c r="L13" s="297"/>
      <c r="M13" s="297"/>
      <c r="N13" s="297"/>
      <c r="O13" s="297"/>
      <c r="P13" s="297"/>
      <c r="Q13" s="297"/>
    </row>
    <row r="14" spans="1:17" ht="15" customHeight="1" x14ac:dyDescent="0.25">
      <c r="A14" s="297"/>
      <c r="B14" s="297"/>
      <c r="C14" s="297"/>
      <c r="D14" s="297"/>
      <c r="E14" s="297"/>
      <c r="F14" s="297"/>
      <c r="G14" s="297"/>
      <c r="H14" s="297"/>
      <c r="I14" s="297"/>
      <c r="J14" s="297"/>
      <c r="K14" s="297"/>
      <c r="L14" s="297"/>
      <c r="M14" s="297"/>
      <c r="N14" s="297"/>
      <c r="O14" s="297"/>
      <c r="P14" s="297"/>
      <c r="Q14" s="297"/>
    </row>
    <row r="15" spans="1:17" ht="15" customHeight="1" x14ac:dyDescent="0.25">
      <c r="A15" s="297"/>
      <c r="B15" s="297"/>
      <c r="C15" s="297"/>
      <c r="D15" s="297"/>
      <c r="E15" s="297"/>
      <c r="F15" s="297"/>
      <c r="G15" s="297"/>
      <c r="H15" s="297"/>
      <c r="I15" s="297"/>
      <c r="J15" s="297"/>
      <c r="K15" s="297"/>
      <c r="L15" s="297"/>
      <c r="M15" s="297"/>
      <c r="N15" s="297"/>
      <c r="O15" s="297"/>
      <c r="P15" s="297"/>
      <c r="Q15" s="297"/>
    </row>
    <row r="16" spans="1:17" x14ac:dyDescent="0.25">
      <c r="A16" s="1" t="s">
        <v>0</v>
      </c>
      <c r="B16" s="1" t="s">
        <v>20</v>
      </c>
      <c r="C16" s="1" t="s">
        <v>155</v>
      </c>
      <c r="D16" s="1" t="s">
        <v>159</v>
      </c>
      <c r="E16" s="1" t="s">
        <v>373</v>
      </c>
      <c r="F16" s="1" t="s">
        <v>154</v>
      </c>
      <c r="G16" s="1" t="s">
        <v>158</v>
      </c>
      <c r="H16" s="1" t="s">
        <v>374</v>
      </c>
      <c r="I16" s="1" t="s">
        <v>156</v>
      </c>
      <c r="J16" s="1" t="s">
        <v>160</v>
      </c>
      <c r="K16" s="1" t="s">
        <v>375</v>
      </c>
      <c r="L16" s="1" t="s">
        <v>157</v>
      </c>
      <c r="M16" s="1" t="s">
        <v>161</v>
      </c>
      <c r="N16" s="1" t="s">
        <v>376</v>
      </c>
      <c r="O16" s="1" t="s">
        <v>429</v>
      </c>
      <c r="P16" s="1" t="s">
        <v>162</v>
      </c>
      <c r="Q16" s="1" t="s">
        <v>383</v>
      </c>
    </row>
    <row r="17" spans="1:21" x14ac:dyDescent="0.25">
      <c r="A17" s="2" t="s">
        <v>57</v>
      </c>
      <c r="B17" s="7" t="s">
        <v>58</v>
      </c>
      <c r="C17" s="28" t="str">
        <f t="shared" ref="C17:C44" si="0">S64</f>
        <v>2.00</v>
      </c>
      <c r="D17" s="2">
        <v>3</v>
      </c>
      <c r="E17" s="103">
        <f>First_Semester_SGPA[[#This Row],[English Language - I]]*First_Semester_SGPA[[#This Row],[English Language - I Credit]]</f>
        <v>6</v>
      </c>
      <c r="F17" s="28" t="str">
        <f t="shared" ref="F17:F44" si="1">S111</f>
        <v>3.25</v>
      </c>
      <c r="G17" s="2">
        <v>3</v>
      </c>
      <c r="H17" s="103">
        <f>First_Semester_SGPA[[#This Row],[Mathematics - I]]*First_Semester_SGPA[[#This Row],[Mathematics - I Credit]]</f>
        <v>9.75</v>
      </c>
      <c r="I17" s="28" t="str">
        <f t="shared" ref="I17:I44" si="2">S158</f>
        <v>0.00</v>
      </c>
      <c r="J17" s="2">
        <v>3</v>
      </c>
      <c r="K17" s="103">
        <f>First_Semester_SGPA[[#This Row],[Computer Fundamentals]]*First_Semester_SGPA[[#This Row],[Computer Fundamentals Credit]]</f>
        <v>0</v>
      </c>
      <c r="L17" s="28" t="str">
        <f t="shared" ref="L17:L44" si="3">O205</f>
        <v>2.00</v>
      </c>
      <c r="M17" s="2">
        <v>3</v>
      </c>
      <c r="N17" s="103">
        <f>First_Semester_SGPA[[#This Row],[Information Systems Engineering]]*First_Semester_SGPA[[#This Row],[Information Systems Engineering Credit]]</f>
        <v>6</v>
      </c>
      <c r="O17" s="103">
        <f t="shared" ref="O17:O44" si="4">SUM(E17,H17,K17,N17)</f>
        <v>21.75</v>
      </c>
      <c r="P17" s="2">
        <f t="shared" ref="P17:P22" si="5">SUM(D17,G17,J17,M17)</f>
        <v>12</v>
      </c>
      <c r="Q17" s="28">
        <f>First_Semester_SGPA[[#This Row],[Total Subject (Total Grade + Credit)]]/First_Semester_SGPA[[#This Row],[Total Subject Credit]]</f>
        <v>1.8125</v>
      </c>
    </row>
    <row r="18" spans="1:21" x14ac:dyDescent="0.25">
      <c r="A18" s="2" t="s">
        <v>56</v>
      </c>
      <c r="B18" s="7" t="s">
        <v>59</v>
      </c>
      <c r="C18" s="28" t="str">
        <f t="shared" si="0"/>
        <v>3.25</v>
      </c>
      <c r="D18" s="2">
        <v>3</v>
      </c>
      <c r="E18" s="103">
        <f>First_Semester_SGPA[[#This Row],[English Language - I]]*First_Semester_SGPA[[#This Row],[English Language - I Credit]]</f>
        <v>9.75</v>
      </c>
      <c r="F18" s="28" t="str">
        <f t="shared" si="1"/>
        <v>2.50</v>
      </c>
      <c r="G18" s="2">
        <v>3</v>
      </c>
      <c r="H18" s="103">
        <f>First_Semester_SGPA[[#This Row],[Mathematics - I]]*First_Semester_SGPA[[#This Row],[Mathematics - I Credit]]</f>
        <v>7.5</v>
      </c>
      <c r="I18" s="28" t="str">
        <f t="shared" si="2"/>
        <v>3.00</v>
      </c>
      <c r="J18" s="2">
        <v>3</v>
      </c>
      <c r="K18" s="103">
        <f>First_Semester_SGPA[[#This Row],[Computer Fundamentals]]*First_Semester_SGPA[[#This Row],[Computer Fundamentals Credit]]</f>
        <v>9</v>
      </c>
      <c r="L18" s="28" t="str">
        <f t="shared" si="3"/>
        <v>2.75</v>
      </c>
      <c r="M18" s="2">
        <v>3</v>
      </c>
      <c r="N18" s="103">
        <f>First_Semester_SGPA[[#This Row],[Information Systems Engineering]]*First_Semester_SGPA[[#This Row],[Information Systems Engineering Credit]]</f>
        <v>8.25</v>
      </c>
      <c r="O18" s="103">
        <f t="shared" si="4"/>
        <v>34.5</v>
      </c>
      <c r="P18" s="2">
        <f t="shared" si="5"/>
        <v>12</v>
      </c>
      <c r="Q18" s="28">
        <f>First_Semester_SGPA[[#This Row],[Total Subject (Total Grade + Credit)]]/First_Semester_SGPA[[#This Row],[Total Subject Credit]]</f>
        <v>2.875</v>
      </c>
    </row>
    <row r="19" spans="1:21" x14ac:dyDescent="0.25">
      <c r="A19" s="2" t="s">
        <v>1</v>
      </c>
      <c r="B19" s="7" t="s">
        <v>27</v>
      </c>
      <c r="C19" s="28" t="str">
        <f t="shared" si="0"/>
        <v>3.00</v>
      </c>
      <c r="D19" s="2">
        <v>3</v>
      </c>
      <c r="E19" s="103">
        <f>First_Semester_SGPA[[#This Row],[English Language - I]]*First_Semester_SGPA[[#This Row],[English Language - I Credit]]</f>
        <v>9</v>
      </c>
      <c r="F19" s="28" t="str">
        <f t="shared" si="1"/>
        <v>2.25</v>
      </c>
      <c r="G19" s="2">
        <v>3</v>
      </c>
      <c r="H19" s="103">
        <f>First_Semester_SGPA[[#This Row],[Mathematics - I]]*First_Semester_SGPA[[#This Row],[Mathematics - I Credit]]</f>
        <v>6.75</v>
      </c>
      <c r="I19" s="28" t="str">
        <f t="shared" si="2"/>
        <v>2.50</v>
      </c>
      <c r="J19" s="2">
        <v>3</v>
      </c>
      <c r="K19" s="103">
        <f>First_Semester_SGPA[[#This Row],[Computer Fundamentals]]*First_Semester_SGPA[[#This Row],[Computer Fundamentals Credit]]</f>
        <v>7.5</v>
      </c>
      <c r="L19" s="28" t="str">
        <f t="shared" si="3"/>
        <v>2.50</v>
      </c>
      <c r="M19" s="2">
        <v>3</v>
      </c>
      <c r="N19" s="103">
        <f>First_Semester_SGPA[[#This Row],[Information Systems Engineering]]*First_Semester_SGPA[[#This Row],[Information Systems Engineering Credit]]</f>
        <v>7.5</v>
      </c>
      <c r="O19" s="103">
        <f t="shared" si="4"/>
        <v>30.75</v>
      </c>
      <c r="P19" s="2">
        <f t="shared" si="5"/>
        <v>12</v>
      </c>
      <c r="Q19" s="28">
        <f>First_Semester_SGPA[[#This Row],[Total Subject (Total Grade + Credit)]]/First_Semester_SGPA[[#This Row],[Total Subject Credit]]</f>
        <v>2.5625</v>
      </c>
    </row>
    <row r="20" spans="1:21" x14ac:dyDescent="0.25">
      <c r="A20" s="2" t="s">
        <v>2</v>
      </c>
      <c r="B20" s="7" t="s">
        <v>28</v>
      </c>
      <c r="C20" s="28" t="str">
        <f t="shared" si="0"/>
        <v>3.50</v>
      </c>
      <c r="D20" s="2">
        <v>3</v>
      </c>
      <c r="E20" s="103">
        <f>First_Semester_SGPA[[#This Row],[English Language - I]]*First_Semester_SGPA[[#This Row],[English Language - I Credit]]</f>
        <v>10.5</v>
      </c>
      <c r="F20" s="28" t="str">
        <f t="shared" si="1"/>
        <v>2.25</v>
      </c>
      <c r="G20" s="2">
        <v>3</v>
      </c>
      <c r="H20" s="103">
        <f>First_Semester_SGPA[[#This Row],[Mathematics - I]]*First_Semester_SGPA[[#This Row],[Mathematics - I Credit]]</f>
        <v>6.75</v>
      </c>
      <c r="I20" s="28" t="str">
        <f t="shared" si="2"/>
        <v>3.25</v>
      </c>
      <c r="J20" s="2">
        <v>3</v>
      </c>
      <c r="K20" s="103">
        <f>First_Semester_SGPA[[#This Row],[Computer Fundamentals]]*First_Semester_SGPA[[#This Row],[Computer Fundamentals Credit]]</f>
        <v>9.75</v>
      </c>
      <c r="L20" s="28" t="str">
        <f t="shared" si="3"/>
        <v>2.00</v>
      </c>
      <c r="M20" s="2">
        <v>3</v>
      </c>
      <c r="N20" s="103">
        <f>First_Semester_SGPA[[#This Row],[Information Systems Engineering]]*First_Semester_SGPA[[#This Row],[Information Systems Engineering Credit]]</f>
        <v>6</v>
      </c>
      <c r="O20" s="103">
        <f t="shared" si="4"/>
        <v>33</v>
      </c>
      <c r="P20" s="2">
        <f t="shared" si="5"/>
        <v>12</v>
      </c>
      <c r="Q20" s="28">
        <f>First_Semester_SGPA[[#This Row],[Total Subject (Total Grade + Credit)]]/First_Semester_SGPA[[#This Row],[Total Subject Credit]]</f>
        <v>2.75</v>
      </c>
    </row>
    <row r="21" spans="1:21" x14ac:dyDescent="0.25">
      <c r="A21" s="2" t="s">
        <v>3</v>
      </c>
      <c r="B21" s="7" t="s">
        <v>29</v>
      </c>
      <c r="C21" s="28" t="str">
        <f t="shared" si="0"/>
        <v>3.25</v>
      </c>
      <c r="D21" s="2">
        <v>3</v>
      </c>
      <c r="E21" s="103">
        <f>First_Semester_SGPA[[#This Row],[English Language - I]]*First_Semester_SGPA[[#This Row],[English Language - I Credit]]</f>
        <v>9.75</v>
      </c>
      <c r="F21" s="28" t="str">
        <f t="shared" si="1"/>
        <v>3.25</v>
      </c>
      <c r="G21" s="2">
        <v>3</v>
      </c>
      <c r="H21" s="103">
        <f>First_Semester_SGPA[[#This Row],[Mathematics - I]]*First_Semester_SGPA[[#This Row],[Mathematics - I Credit]]</f>
        <v>9.75</v>
      </c>
      <c r="I21" s="28" t="str">
        <f t="shared" si="2"/>
        <v>2.25</v>
      </c>
      <c r="J21" s="2">
        <v>3</v>
      </c>
      <c r="K21" s="103">
        <f>First_Semester_SGPA[[#This Row],[Computer Fundamentals]]*First_Semester_SGPA[[#This Row],[Computer Fundamentals Credit]]</f>
        <v>6.75</v>
      </c>
      <c r="L21" s="28" t="str">
        <f t="shared" si="3"/>
        <v>3.00</v>
      </c>
      <c r="M21" s="2">
        <v>3</v>
      </c>
      <c r="N21" s="103">
        <f>First_Semester_SGPA[[#This Row],[Information Systems Engineering]]*First_Semester_SGPA[[#This Row],[Information Systems Engineering Credit]]</f>
        <v>9</v>
      </c>
      <c r="O21" s="103">
        <f t="shared" si="4"/>
        <v>35.25</v>
      </c>
      <c r="P21" s="2">
        <f t="shared" si="5"/>
        <v>12</v>
      </c>
      <c r="Q21" s="28">
        <f>First_Semester_SGPA[[#This Row],[Total Subject (Total Grade + Credit)]]/First_Semester_SGPA[[#This Row],[Total Subject Credit]]</f>
        <v>2.9375</v>
      </c>
    </row>
    <row r="22" spans="1:21" x14ac:dyDescent="0.25">
      <c r="A22" s="2" t="s">
        <v>4</v>
      </c>
      <c r="B22" s="7" t="s">
        <v>30</v>
      </c>
      <c r="C22" s="28" t="str">
        <f t="shared" si="0"/>
        <v>2.75</v>
      </c>
      <c r="D22" s="2">
        <v>3</v>
      </c>
      <c r="E22" s="103">
        <f>First_Semester_SGPA[[#This Row],[English Language - I]]*First_Semester_SGPA[[#This Row],[English Language - I Credit]]</f>
        <v>8.25</v>
      </c>
      <c r="F22" s="28" t="str">
        <f t="shared" si="1"/>
        <v>2.25</v>
      </c>
      <c r="G22" s="2">
        <v>3</v>
      </c>
      <c r="H22" s="103">
        <f>First_Semester_SGPA[[#This Row],[Mathematics - I]]*First_Semester_SGPA[[#This Row],[Mathematics - I Credit]]</f>
        <v>6.75</v>
      </c>
      <c r="I22" s="28" t="str">
        <f t="shared" si="2"/>
        <v>3.25</v>
      </c>
      <c r="J22" s="2">
        <v>3</v>
      </c>
      <c r="K22" s="103">
        <f>First_Semester_SGPA[[#This Row],[Computer Fundamentals]]*First_Semester_SGPA[[#This Row],[Computer Fundamentals Credit]]</f>
        <v>9.75</v>
      </c>
      <c r="L22" s="28" t="str">
        <f t="shared" si="3"/>
        <v>3.25</v>
      </c>
      <c r="M22" s="2">
        <v>3</v>
      </c>
      <c r="N22" s="103">
        <f>First_Semester_SGPA[[#This Row],[Information Systems Engineering]]*First_Semester_SGPA[[#This Row],[Information Systems Engineering Credit]]</f>
        <v>9.75</v>
      </c>
      <c r="O22" s="103">
        <f t="shared" si="4"/>
        <v>34.5</v>
      </c>
      <c r="P22" s="2">
        <f t="shared" si="5"/>
        <v>12</v>
      </c>
      <c r="Q22" s="28">
        <f>First_Semester_SGPA[[#This Row],[Total Subject (Total Grade + Credit)]]/First_Semester_SGPA[[#This Row],[Total Subject Credit]]</f>
        <v>2.875</v>
      </c>
    </row>
    <row r="23" spans="1:21" x14ac:dyDescent="0.25">
      <c r="A23" s="208" t="s">
        <v>5</v>
      </c>
      <c r="B23" s="207" t="s">
        <v>31</v>
      </c>
      <c r="C23" s="209"/>
      <c r="D23" s="208"/>
      <c r="E23" s="208"/>
      <c r="F23" s="209"/>
      <c r="G23" s="208"/>
      <c r="H23" s="208"/>
      <c r="I23" s="209"/>
      <c r="J23" s="208"/>
      <c r="K23" s="208"/>
      <c r="L23" s="209"/>
      <c r="M23" s="208"/>
      <c r="N23" s="208"/>
      <c r="O23" s="208"/>
      <c r="P23" s="208"/>
      <c r="Q23" s="208"/>
      <c r="R23" s="21"/>
      <c r="T23" s="21"/>
      <c r="U23" s="21"/>
    </row>
    <row r="24" spans="1:21" x14ac:dyDescent="0.25">
      <c r="A24" s="2" t="s">
        <v>6</v>
      </c>
      <c r="B24" s="7" t="s">
        <v>32</v>
      </c>
      <c r="C24" s="28" t="str">
        <f t="shared" si="0"/>
        <v>3.75</v>
      </c>
      <c r="D24" s="2">
        <v>3</v>
      </c>
      <c r="E24" s="103">
        <f>First_Semester_SGPA[[#This Row],[English Language - I]]*First_Semester_SGPA[[#This Row],[English Language - I Credit]]</f>
        <v>11.25</v>
      </c>
      <c r="F24" s="28" t="str">
        <f t="shared" si="1"/>
        <v>3.25</v>
      </c>
      <c r="G24" s="2">
        <v>3</v>
      </c>
      <c r="H24" s="103">
        <f>First_Semester_SGPA[[#This Row],[Mathematics - I]]*First_Semester_SGPA[[#This Row],[Mathematics - I Credit]]</f>
        <v>9.75</v>
      </c>
      <c r="I24" s="28" t="str">
        <f t="shared" si="2"/>
        <v>2.25</v>
      </c>
      <c r="J24" s="2">
        <v>3</v>
      </c>
      <c r="K24" s="103">
        <f>First_Semester_SGPA[[#This Row],[Computer Fundamentals]]*First_Semester_SGPA[[#This Row],[Computer Fundamentals Credit]]</f>
        <v>6.75</v>
      </c>
      <c r="L24" s="28" t="str">
        <f t="shared" si="3"/>
        <v>3.50</v>
      </c>
      <c r="M24" s="2">
        <v>3</v>
      </c>
      <c r="N24" s="103">
        <f>First_Semester_SGPA[[#This Row],[Information Systems Engineering]]*First_Semester_SGPA[[#This Row],[Information Systems Engineering Credit]]</f>
        <v>10.5</v>
      </c>
      <c r="O24" s="103">
        <f t="shared" si="4"/>
        <v>38.25</v>
      </c>
      <c r="P24" s="2">
        <f>SUM(D24,G24,J24,M24)</f>
        <v>12</v>
      </c>
      <c r="Q24" s="28">
        <f>First_Semester_SGPA[[#This Row],[Total Subject (Total Grade + Credit)]]/First_Semester_SGPA[[#This Row],[Total Subject Credit]]</f>
        <v>3.1875</v>
      </c>
      <c r="R24" s="21"/>
      <c r="T24" s="21"/>
      <c r="U24" s="21"/>
    </row>
    <row r="25" spans="1:21" x14ac:dyDescent="0.25">
      <c r="A25" s="2" t="s">
        <v>7</v>
      </c>
      <c r="B25" s="7" t="s">
        <v>33</v>
      </c>
      <c r="C25" s="28" t="str">
        <f t="shared" si="0"/>
        <v>2.00</v>
      </c>
      <c r="D25" s="2">
        <v>3</v>
      </c>
      <c r="E25" s="103">
        <f>First_Semester_SGPA[[#This Row],[English Language - I]]*First_Semester_SGPA[[#This Row],[English Language - I Credit]]</f>
        <v>6</v>
      </c>
      <c r="F25" s="28" t="str">
        <f t="shared" si="1"/>
        <v>3.25</v>
      </c>
      <c r="G25" s="2">
        <v>3</v>
      </c>
      <c r="H25" s="103">
        <f>First_Semester_SGPA[[#This Row],[Mathematics - I]]*First_Semester_SGPA[[#This Row],[Mathematics - I Credit]]</f>
        <v>9.75</v>
      </c>
      <c r="I25" s="28" t="str">
        <f t="shared" si="2"/>
        <v>3.25</v>
      </c>
      <c r="J25" s="2">
        <v>3</v>
      </c>
      <c r="K25" s="103">
        <f>First_Semester_SGPA[[#This Row],[Computer Fundamentals]]*First_Semester_SGPA[[#This Row],[Computer Fundamentals Credit]]</f>
        <v>9.75</v>
      </c>
      <c r="L25" s="28" t="str">
        <f t="shared" si="3"/>
        <v>3.00</v>
      </c>
      <c r="M25" s="2">
        <v>3</v>
      </c>
      <c r="N25" s="103">
        <f>First_Semester_SGPA[[#This Row],[Information Systems Engineering]]*First_Semester_SGPA[[#This Row],[Information Systems Engineering Credit]]</f>
        <v>9</v>
      </c>
      <c r="O25" s="103">
        <f t="shared" si="4"/>
        <v>34.5</v>
      </c>
      <c r="P25" s="2">
        <f>SUM(D25,G25,J25,M25)</f>
        <v>12</v>
      </c>
      <c r="Q25" s="28">
        <f>First_Semester_SGPA[[#This Row],[Total Subject (Total Grade + Credit)]]/First_Semester_SGPA[[#This Row],[Total Subject Credit]]</f>
        <v>2.875</v>
      </c>
      <c r="R25" s="21"/>
      <c r="T25" s="21"/>
      <c r="U25" s="21"/>
    </row>
    <row r="26" spans="1:21" x14ac:dyDescent="0.25">
      <c r="A26" s="2" t="s">
        <v>8</v>
      </c>
      <c r="B26" s="7" t="s">
        <v>34</v>
      </c>
      <c r="C26" s="28" t="str">
        <f t="shared" si="0"/>
        <v>0.00</v>
      </c>
      <c r="D26" s="2">
        <v>3</v>
      </c>
      <c r="E26" s="103">
        <f>First_Semester_SGPA[[#This Row],[English Language - I]]*First_Semester_SGPA[[#This Row],[English Language - I Credit]]</f>
        <v>0</v>
      </c>
      <c r="F26" s="28" t="str">
        <f t="shared" si="1"/>
        <v>2.00</v>
      </c>
      <c r="G26" s="2">
        <v>3</v>
      </c>
      <c r="H26" s="103">
        <f>First_Semester_SGPA[[#This Row],[Mathematics - I]]*First_Semester_SGPA[[#This Row],[Mathematics - I Credit]]</f>
        <v>6</v>
      </c>
      <c r="I26" s="28" t="str">
        <f t="shared" si="2"/>
        <v>3.00</v>
      </c>
      <c r="J26" s="2">
        <v>3</v>
      </c>
      <c r="K26" s="103">
        <f>First_Semester_SGPA[[#This Row],[Computer Fundamentals]]*First_Semester_SGPA[[#This Row],[Computer Fundamentals Credit]]</f>
        <v>9</v>
      </c>
      <c r="L26" s="28" t="str">
        <f t="shared" si="3"/>
        <v>0.00</v>
      </c>
      <c r="M26" s="2">
        <v>3</v>
      </c>
      <c r="N26" s="103">
        <f>First_Semester_SGPA[[#This Row],[Information Systems Engineering]]*First_Semester_SGPA[[#This Row],[Information Systems Engineering Credit]]</f>
        <v>0</v>
      </c>
      <c r="O26" s="103">
        <f t="shared" si="4"/>
        <v>15</v>
      </c>
      <c r="P26" s="2">
        <f>SUM(D26,G26,J26,M26)</f>
        <v>12</v>
      </c>
      <c r="Q26" s="28">
        <f>First_Semester_SGPA[[#This Row],[Total Subject (Total Grade + Credit)]]/First_Semester_SGPA[[#This Row],[Total Subject Credit]]</f>
        <v>1.25</v>
      </c>
      <c r="R26" s="21"/>
      <c r="T26" s="21"/>
      <c r="U26" s="21"/>
    </row>
    <row r="27" spans="1:21" x14ac:dyDescent="0.25">
      <c r="A27" s="2" t="s">
        <v>9</v>
      </c>
      <c r="B27" s="7" t="s">
        <v>35</v>
      </c>
      <c r="C27" s="28" t="str">
        <f t="shared" si="0"/>
        <v>2.25</v>
      </c>
      <c r="D27" s="2">
        <v>3</v>
      </c>
      <c r="E27" s="103">
        <f>First_Semester_SGPA[[#This Row],[English Language - I]]*First_Semester_SGPA[[#This Row],[English Language - I Credit]]</f>
        <v>6.75</v>
      </c>
      <c r="F27" s="28" t="str">
        <f t="shared" si="1"/>
        <v>2.25</v>
      </c>
      <c r="G27" s="2">
        <v>3</v>
      </c>
      <c r="H27" s="103">
        <f>First_Semester_SGPA[[#This Row],[Mathematics - I]]*First_Semester_SGPA[[#This Row],[Mathematics - I Credit]]</f>
        <v>6.75</v>
      </c>
      <c r="I27" s="28" t="str">
        <f t="shared" si="2"/>
        <v>3.00</v>
      </c>
      <c r="J27" s="2">
        <v>3</v>
      </c>
      <c r="K27" s="103">
        <f>First_Semester_SGPA[[#This Row],[Computer Fundamentals]]*First_Semester_SGPA[[#This Row],[Computer Fundamentals Credit]]</f>
        <v>9</v>
      </c>
      <c r="L27" s="28" t="str">
        <f t="shared" si="3"/>
        <v>3.00</v>
      </c>
      <c r="M27" s="2">
        <v>3</v>
      </c>
      <c r="N27" s="103">
        <f>First_Semester_SGPA[[#This Row],[Information Systems Engineering]]*First_Semester_SGPA[[#This Row],[Information Systems Engineering Credit]]</f>
        <v>9</v>
      </c>
      <c r="O27" s="103">
        <f t="shared" si="4"/>
        <v>31.5</v>
      </c>
      <c r="P27" s="2">
        <f>SUM(D27,G27,J27,M27)</f>
        <v>12</v>
      </c>
      <c r="Q27" s="28">
        <f>First_Semester_SGPA[[#This Row],[Total Subject (Total Grade + Credit)]]/First_Semester_SGPA[[#This Row],[Total Subject Credit]]</f>
        <v>2.625</v>
      </c>
      <c r="R27" s="21"/>
      <c r="T27" s="21"/>
      <c r="U27" s="21"/>
    </row>
    <row r="28" spans="1:21" x14ac:dyDescent="0.25">
      <c r="A28" s="2" t="s">
        <v>10</v>
      </c>
      <c r="B28" s="7" t="s">
        <v>36</v>
      </c>
      <c r="C28" s="28" t="str">
        <f t="shared" si="0"/>
        <v>0.00</v>
      </c>
      <c r="D28" s="2">
        <v>3</v>
      </c>
      <c r="E28" s="103">
        <f>First_Semester_SGPA[[#This Row],[English Language - I]]*First_Semester_SGPA[[#This Row],[English Language - I Credit]]</f>
        <v>0</v>
      </c>
      <c r="F28" s="28" t="str">
        <f t="shared" si="1"/>
        <v>2.25</v>
      </c>
      <c r="G28" s="2">
        <v>3</v>
      </c>
      <c r="H28" s="103">
        <f>First_Semester_SGPA[[#This Row],[Mathematics - I]]*First_Semester_SGPA[[#This Row],[Mathematics - I Credit]]</f>
        <v>6.75</v>
      </c>
      <c r="I28" s="28" t="str">
        <f t="shared" si="2"/>
        <v>2.00</v>
      </c>
      <c r="J28" s="2">
        <v>3</v>
      </c>
      <c r="K28" s="103">
        <f>First_Semester_SGPA[[#This Row],[Computer Fundamentals]]*First_Semester_SGPA[[#This Row],[Computer Fundamentals Credit]]</f>
        <v>6</v>
      </c>
      <c r="L28" s="28" t="str">
        <f t="shared" si="3"/>
        <v>3.50</v>
      </c>
      <c r="M28" s="2">
        <v>3</v>
      </c>
      <c r="N28" s="103">
        <f>First_Semester_SGPA[[#This Row],[Information Systems Engineering]]*First_Semester_SGPA[[#This Row],[Information Systems Engineering Credit]]</f>
        <v>10.5</v>
      </c>
      <c r="O28" s="103">
        <f t="shared" si="4"/>
        <v>23.25</v>
      </c>
      <c r="P28" s="2">
        <f>SUM(D28,G28,J28,M28)</f>
        <v>12</v>
      </c>
      <c r="Q28" s="28">
        <f>First_Semester_SGPA[[#This Row],[Total Subject (Total Grade + Credit)]]/First_Semester_SGPA[[#This Row],[Total Subject Credit]]</f>
        <v>1.9375</v>
      </c>
      <c r="R28" s="21"/>
      <c r="T28" s="21"/>
      <c r="U28" s="21"/>
    </row>
    <row r="29" spans="1:21" x14ac:dyDescent="0.25">
      <c r="A29" s="208" t="s">
        <v>11</v>
      </c>
      <c r="B29" s="207" t="s">
        <v>31</v>
      </c>
      <c r="C29" s="209"/>
      <c r="D29" s="208"/>
      <c r="E29" s="208"/>
      <c r="F29" s="209"/>
      <c r="G29" s="208"/>
      <c r="H29" s="208"/>
      <c r="I29" s="209"/>
      <c r="J29" s="208"/>
      <c r="K29" s="208"/>
      <c r="L29" s="209"/>
      <c r="M29" s="208"/>
      <c r="N29" s="208"/>
      <c r="O29" s="208"/>
      <c r="P29" s="208"/>
      <c r="Q29" s="208"/>
      <c r="R29" s="21"/>
      <c r="S29" s="21"/>
      <c r="T29" s="21"/>
      <c r="U29" s="21"/>
    </row>
    <row r="30" spans="1:21" x14ac:dyDescent="0.25">
      <c r="A30" s="2" t="s">
        <v>12</v>
      </c>
      <c r="B30" s="7" t="s">
        <v>37</v>
      </c>
      <c r="C30" s="28" t="str">
        <f t="shared" si="0"/>
        <v>3.25</v>
      </c>
      <c r="D30" s="2">
        <v>3</v>
      </c>
      <c r="E30" s="103">
        <f>First_Semester_SGPA[[#This Row],[English Language - I]]*First_Semester_SGPA[[#This Row],[English Language - I Credit]]</f>
        <v>9.75</v>
      </c>
      <c r="F30" s="28" t="str">
        <f t="shared" si="1"/>
        <v>2.25</v>
      </c>
      <c r="G30" s="2">
        <v>3</v>
      </c>
      <c r="H30" s="103">
        <f>First_Semester_SGPA[[#This Row],[Mathematics - I]]*First_Semester_SGPA[[#This Row],[Mathematics - I Credit]]</f>
        <v>6.75</v>
      </c>
      <c r="I30" s="28" t="str">
        <f t="shared" si="2"/>
        <v>2.75</v>
      </c>
      <c r="J30" s="2">
        <v>3</v>
      </c>
      <c r="K30" s="103">
        <f>First_Semester_SGPA[[#This Row],[Computer Fundamentals]]*First_Semester_SGPA[[#This Row],[Computer Fundamentals Credit]]</f>
        <v>8.25</v>
      </c>
      <c r="L30" s="28" t="str">
        <f t="shared" si="3"/>
        <v>0.00</v>
      </c>
      <c r="M30" s="2">
        <v>3</v>
      </c>
      <c r="N30" s="103">
        <f>First_Semester_SGPA[[#This Row],[Information Systems Engineering]]*First_Semester_SGPA[[#This Row],[Information Systems Engineering Credit]]</f>
        <v>0</v>
      </c>
      <c r="O30" s="103">
        <f t="shared" si="4"/>
        <v>24.75</v>
      </c>
      <c r="P30" s="2">
        <f>SUM(D30,G30,J30,M30)</f>
        <v>12</v>
      </c>
      <c r="Q30" s="28">
        <f>First_Semester_SGPA[[#This Row],[Total Subject (Total Grade + Credit)]]/First_Semester_SGPA[[#This Row],[Total Subject Credit]]</f>
        <v>2.0625</v>
      </c>
      <c r="R30" s="21"/>
      <c r="S30" s="21"/>
      <c r="T30" s="21"/>
      <c r="U30" s="21"/>
    </row>
    <row r="31" spans="1:21" x14ac:dyDescent="0.25">
      <c r="A31" s="2" t="s">
        <v>13</v>
      </c>
      <c r="B31" s="7" t="s">
        <v>38</v>
      </c>
      <c r="C31" s="28" t="str">
        <f t="shared" si="0"/>
        <v>3.25</v>
      </c>
      <c r="D31" s="2">
        <v>3</v>
      </c>
      <c r="E31" s="103">
        <f>First_Semester_SGPA[[#This Row],[English Language - I]]*First_Semester_SGPA[[#This Row],[English Language - I Credit]]</f>
        <v>9.75</v>
      </c>
      <c r="F31" s="28" t="str">
        <f t="shared" si="1"/>
        <v>4.00</v>
      </c>
      <c r="G31" s="2">
        <v>3</v>
      </c>
      <c r="H31" s="103">
        <f>First_Semester_SGPA[[#This Row],[Mathematics - I]]*First_Semester_SGPA[[#This Row],[Mathematics - I Credit]]</f>
        <v>12</v>
      </c>
      <c r="I31" s="28" t="str">
        <f t="shared" si="2"/>
        <v>3.75</v>
      </c>
      <c r="J31" s="2">
        <v>3</v>
      </c>
      <c r="K31" s="103">
        <f>First_Semester_SGPA[[#This Row],[Computer Fundamentals]]*First_Semester_SGPA[[#This Row],[Computer Fundamentals Credit]]</f>
        <v>11.25</v>
      </c>
      <c r="L31" s="28" t="str">
        <f t="shared" si="3"/>
        <v>0.00</v>
      </c>
      <c r="M31" s="2">
        <v>3</v>
      </c>
      <c r="N31" s="103">
        <f>First_Semester_SGPA[[#This Row],[Information Systems Engineering]]*First_Semester_SGPA[[#This Row],[Information Systems Engineering Credit]]</f>
        <v>0</v>
      </c>
      <c r="O31" s="103">
        <f t="shared" si="4"/>
        <v>33</v>
      </c>
      <c r="P31" s="2">
        <f>SUM(D31,G31,J31,M31)</f>
        <v>12</v>
      </c>
      <c r="Q31" s="28">
        <f>First_Semester_SGPA[[#This Row],[Total Subject (Total Grade + Credit)]]/First_Semester_SGPA[[#This Row],[Total Subject Credit]]</f>
        <v>2.75</v>
      </c>
      <c r="R31" s="21"/>
      <c r="S31" s="21"/>
      <c r="T31" s="21"/>
      <c r="U31" s="21"/>
    </row>
    <row r="32" spans="1:21" x14ac:dyDescent="0.25">
      <c r="A32" s="2" t="s">
        <v>14</v>
      </c>
      <c r="B32" s="7" t="s">
        <v>39</v>
      </c>
      <c r="C32" s="28" t="str">
        <f t="shared" si="0"/>
        <v>3.25</v>
      </c>
      <c r="D32" s="2">
        <v>3</v>
      </c>
      <c r="E32" s="103">
        <f>First_Semester_SGPA[[#This Row],[English Language - I]]*First_Semester_SGPA[[#This Row],[English Language - I Credit]]</f>
        <v>9.75</v>
      </c>
      <c r="F32" s="28" t="str">
        <f t="shared" si="1"/>
        <v>2.00</v>
      </c>
      <c r="G32" s="2">
        <v>3</v>
      </c>
      <c r="H32" s="103">
        <f>First_Semester_SGPA[[#This Row],[Mathematics - I]]*First_Semester_SGPA[[#This Row],[Mathematics - I Credit]]</f>
        <v>6</v>
      </c>
      <c r="I32" s="28" t="str">
        <f t="shared" si="2"/>
        <v>2.25</v>
      </c>
      <c r="J32" s="2">
        <v>3</v>
      </c>
      <c r="K32" s="103">
        <f>First_Semester_SGPA[[#This Row],[Computer Fundamentals]]*First_Semester_SGPA[[#This Row],[Computer Fundamentals Credit]]</f>
        <v>6.75</v>
      </c>
      <c r="L32" s="28" t="str">
        <f t="shared" si="3"/>
        <v>2.00</v>
      </c>
      <c r="M32" s="2">
        <v>3</v>
      </c>
      <c r="N32" s="103">
        <f>First_Semester_SGPA[[#This Row],[Information Systems Engineering]]*First_Semester_SGPA[[#This Row],[Information Systems Engineering Credit]]</f>
        <v>6</v>
      </c>
      <c r="O32" s="103">
        <f t="shared" si="4"/>
        <v>28.5</v>
      </c>
      <c r="P32" s="2">
        <f>SUM(D32,G32,J32,M32)</f>
        <v>12</v>
      </c>
      <c r="Q32" s="28">
        <f>First_Semester_SGPA[[#This Row],[Total Subject (Total Grade + Credit)]]/First_Semester_SGPA[[#This Row],[Total Subject Credit]]</f>
        <v>2.375</v>
      </c>
      <c r="R32" s="21"/>
      <c r="S32" s="21"/>
      <c r="T32" s="21"/>
      <c r="U32" s="21"/>
    </row>
    <row r="33" spans="1:21" x14ac:dyDescent="0.25">
      <c r="A33" s="2" t="s">
        <v>15</v>
      </c>
      <c r="B33" s="7" t="s">
        <v>40</v>
      </c>
      <c r="C33" s="28" t="str">
        <f t="shared" si="0"/>
        <v>0.00</v>
      </c>
      <c r="D33" s="2">
        <v>3</v>
      </c>
      <c r="E33" s="103">
        <f>First_Semester_SGPA[[#This Row],[English Language - I]]*First_Semester_SGPA[[#This Row],[English Language - I Credit]]</f>
        <v>0</v>
      </c>
      <c r="F33" s="28" t="str">
        <f t="shared" si="1"/>
        <v>3.00</v>
      </c>
      <c r="G33" s="2">
        <v>3</v>
      </c>
      <c r="H33" s="103">
        <f>First_Semester_SGPA[[#This Row],[Mathematics - I]]*First_Semester_SGPA[[#This Row],[Mathematics - I Credit]]</f>
        <v>9</v>
      </c>
      <c r="I33" s="28" t="str">
        <f t="shared" si="2"/>
        <v>2.75</v>
      </c>
      <c r="J33" s="2">
        <v>3</v>
      </c>
      <c r="K33" s="103">
        <f>First_Semester_SGPA[[#This Row],[Computer Fundamentals]]*First_Semester_SGPA[[#This Row],[Computer Fundamentals Credit]]</f>
        <v>8.25</v>
      </c>
      <c r="L33" s="28" t="str">
        <f t="shared" si="3"/>
        <v>3.25</v>
      </c>
      <c r="M33" s="2">
        <v>3</v>
      </c>
      <c r="N33" s="103">
        <f>First_Semester_SGPA[[#This Row],[Information Systems Engineering]]*First_Semester_SGPA[[#This Row],[Information Systems Engineering Credit]]</f>
        <v>9.75</v>
      </c>
      <c r="O33" s="103">
        <f t="shared" si="4"/>
        <v>27</v>
      </c>
      <c r="P33" s="2">
        <f>SUM(D33,G33,J33,M33)</f>
        <v>12</v>
      </c>
      <c r="Q33" s="28">
        <f>First_Semester_SGPA[[#This Row],[Total Subject (Total Grade + Credit)]]/First_Semester_SGPA[[#This Row],[Total Subject Credit]]</f>
        <v>2.25</v>
      </c>
      <c r="R33" s="21"/>
      <c r="S33" s="21"/>
      <c r="T33" s="21"/>
      <c r="U33" s="21"/>
    </row>
    <row r="34" spans="1:21" x14ac:dyDescent="0.25">
      <c r="A34" s="208" t="s">
        <v>16</v>
      </c>
      <c r="B34" s="207" t="s">
        <v>31</v>
      </c>
      <c r="C34" s="209"/>
      <c r="D34" s="208"/>
      <c r="E34" s="208"/>
      <c r="F34" s="209"/>
      <c r="G34" s="208"/>
      <c r="H34" s="208"/>
      <c r="I34" s="209"/>
      <c r="J34" s="208"/>
      <c r="K34" s="208"/>
      <c r="L34" s="209"/>
      <c r="M34" s="208"/>
      <c r="N34" s="208"/>
      <c r="O34" s="208"/>
      <c r="P34" s="208"/>
      <c r="Q34" s="208"/>
      <c r="R34" s="21"/>
      <c r="S34" s="21"/>
      <c r="T34" s="21"/>
      <c r="U34" s="21"/>
    </row>
    <row r="35" spans="1:21" x14ac:dyDescent="0.25">
      <c r="A35" s="2" t="s">
        <v>17</v>
      </c>
      <c r="B35" s="7" t="s">
        <v>41</v>
      </c>
      <c r="C35" s="28" t="str">
        <f t="shared" si="0"/>
        <v>2.50</v>
      </c>
      <c r="D35" s="2">
        <v>3</v>
      </c>
      <c r="E35" s="103">
        <f>First_Semester_SGPA[[#This Row],[English Language - I]]*First_Semester_SGPA[[#This Row],[English Language - I Credit]]</f>
        <v>7.5</v>
      </c>
      <c r="F35" s="28" t="str">
        <f t="shared" si="1"/>
        <v>2.75</v>
      </c>
      <c r="G35" s="2">
        <v>3</v>
      </c>
      <c r="H35" s="103">
        <f>First_Semester_SGPA[[#This Row],[Mathematics - I]]*First_Semester_SGPA[[#This Row],[Mathematics - I Credit]]</f>
        <v>8.25</v>
      </c>
      <c r="I35" s="28" t="str">
        <f t="shared" si="2"/>
        <v>2.25</v>
      </c>
      <c r="J35" s="2">
        <v>3</v>
      </c>
      <c r="K35" s="103">
        <f>First_Semester_SGPA[[#This Row],[Computer Fundamentals]]*First_Semester_SGPA[[#This Row],[Computer Fundamentals Credit]]</f>
        <v>6.75</v>
      </c>
      <c r="L35" s="28" t="str">
        <f t="shared" si="3"/>
        <v>3.00</v>
      </c>
      <c r="M35" s="2">
        <v>3</v>
      </c>
      <c r="N35" s="103">
        <f>First_Semester_SGPA[[#This Row],[Information Systems Engineering]]*First_Semester_SGPA[[#This Row],[Information Systems Engineering Credit]]</f>
        <v>9</v>
      </c>
      <c r="O35" s="103">
        <f t="shared" si="4"/>
        <v>31.5</v>
      </c>
      <c r="P35" s="2">
        <f t="shared" ref="P35:P44" si="6">SUM(D35,G35,J35,M35)</f>
        <v>12</v>
      </c>
      <c r="Q35" s="28">
        <f>First_Semester_SGPA[[#This Row],[Total Subject (Total Grade + Credit)]]/First_Semester_SGPA[[#This Row],[Total Subject Credit]]</f>
        <v>2.625</v>
      </c>
    </row>
    <row r="36" spans="1:21" x14ac:dyDescent="0.25">
      <c r="A36" s="2" t="s">
        <v>18</v>
      </c>
      <c r="B36" s="7" t="s">
        <v>42</v>
      </c>
      <c r="C36" s="28" t="str">
        <f t="shared" si="0"/>
        <v>2.00</v>
      </c>
      <c r="D36" s="2">
        <v>3</v>
      </c>
      <c r="E36" s="103">
        <f>First_Semester_SGPA[[#This Row],[English Language - I]]*First_Semester_SGPA[[#This Row],[English Language - I Credit]]</f>
        <v>6</v>
      </c>
      <c r="F36" s="28" t="str">
        <f t="shared" si="1"/>
        <v>2.75</v>
      </c>
      <c r="G36" s="2">
        <v>3</v>
      </c>
      <c r="H36" s="103">
        <f>First_Semester_SGPA[[#This Row],[Mathematics - I]]*First_Semester_SGPA[[#This Row],[Mathematics - I Credit]]</f>
        <v>8.25</v>
      </c>
      <c r="I36" s="28" t="str">
        <f t="shared" si="2"/>
        <v>0.00</v>
      </c>
      <c r="J36" s="2">
        <v>3</v>
      </c>
      <c r="K36" s="103">
        <f>First_Semester_SGPA[[#This Row],[Computer Fundamentals]]*First_Semester_SGPA[[#This Row],[Computer Fundamentals Credit]]</f>
        <v>0</v>
      </c>
      <c r="L36" s="28" t="str">
        <f t="shared" si="3"/>
        <v>0.00</v>
      </c>
      <c r="M36" s="2">
        <v>3</v>
      </c>
      <c r="N36" s="103">
        <f>First_Semester_SGPA[[#This Row],[Information Systems Engineering]]*First_Semester_SGPA[[#This Row],[Information Systems Engineering Credit]]</f>
        <v>0</v>
      </c>
      <c r="O36" s="103">
        <f t="shared" si="4"/>
        <v>14.25</v>
      </c>
      <c r="P36" s="2">
        <f t="shared" si="6"/>
        <v>12</v>
      </c>
      <c r="Q36" s="28">
        <f>First_Semester_SGPA[[#This Row],[Total Subject (Total Grade + Credit)]]/First_Semester_SGPA[[#This Row],[Total Subject Credit]]</f>
        <v>1.1875</v>
      </c>
    </row>
    <row r="37" spans="1:21" x14ac:dyDescent="0.25">
      <c r="A37" s="2" t="s">
        <v>19</v>
      </c>
      <c r="B37" s="7" t="s">
        <v>43</v>
      </c>
      <c r="C37" s="28" t="str">
        <f t="shared" si="0"/>
        <v>2.75</v>
      </c>
      <c r="D37" s="2">
        <v>3</v>
      </c>
      <c r="E37" s="103">
        <f>First_Semester_SGPA[[#This Row],[English Language - I]]*First_Semester_SGPA[[#This Row],[English Language - I Credit]]</f>
        <v>8.25</v>
      </c>
      <c r="F37" s="28" t="str">
        <f t="shared" si="1"/>
        <v>4.00</v>
      </c>
      <c r="G37" s="2">
        <v>3</v>
      </c>
      <c r="H37" s="103">
        <f>First_Semester_SGPA[[#This Row],[Mathematics - I]]*First_Semester_SGPA[[#This Row],[Mathematics - I Credit]]</f>
        <v>12</v>
      </c>
      <c r="I37" s="28" t="str">
        <f t="shared" si="2"/>
        <v>3.25</v>
      </c>
      <c r="J37" s="2">
        <v>3</v>
      </c>
      <c r="K37" s="103">
        <f>First_Semester_SGPA[[#This Row],[Computer Fundamentals]]*First_Semester_SGPA[[#This Row],[Computer Fundamentals Credit]]</f>
        <v>9.75</v>
      </c>
      <c r="L37" s="28" t="str">
        <f t="shared" si="3"/>
        <v>2.50</v>
      </c>
      <c r="M37" s="2">
        <v>3</v>
      </c>
      <c r="N37" s="103">
        <f>First_Semester_SGPA[[#This Row],[Information Systems Engineering]]*First_Semester_SGPA[[#This Row],[Information Systems Engineering Credit]]</f>
        <v>7.5</v>
      </c>
      <c r="O37" s="103">
        <f t="shared" si="4"/>
        <v>37.5</v>
      </c>
      <c r="P37" s="2">
        <f t="shared" si="6"/>
        <v>12</v>
      </c>
      <c r="Q37" s="28">
        <f>First_Semester_SGPA[[#This Row],[Total Subject (Total Grade + Credit)]]/First_Semester_SGPA[[#This Row],[Total Subject Credit]]</f>
        <v>3.125</v>
      </c>
    </row>
    <row r="38" spans="1:21" x14ac:dyDescent="0.25">
      <c r="A38" s="2" t="s">
        <v>23</v>
      </c>
      <c r="B38" s="7" t="s">
        <v>44</v>
      </c>
      <c r="C38" s="28" t="str">
        <f t="shared" si="0"/>
        <v>2.00</v>
      </c>
      <c r="D38" s="2">
        <v>3</v>
      </c>
      <c r="E38" s="103">
        <f>First_Semester_SGPA[[#This Row],[English Language - I]]*First_Semester_SGPA[[#This Row],[English Language - I Credit]]</f>
        <v>6</v>
      </c>
      <c r="F38" s="28" t="str">
        <f t="shared" si="1"/>
        <v>3.25</v>
      </c>
      <c r="G38" s="2">
        <v>3</v>
      </c>
      <c r="H38" s="103">
        <f>First_Semester_SGPA[[#This Row],[Mathematics - I]]*First_Semester_SGPA[[#This Row],[Mathematics - I Credit]]</f>
        <v>9.75</v>
      </c>
      <c r="I38" s="28" t="str">
        <f t="shared" si="2"/>
        <v>2.50</v>
      </c>
      <c r="J38" s="2">
        <v>3</v>
      </c>
      <c r="K38" s="103">
        <f>First_Semester_SGPA[[#This Row],[Computer Fundamentals]]*First_Semester_SGPA[[#This Row],[Computer Fundamentals Credit]]</f>
        <v>7.5</v>
      </c>
      <c r="L38" s="28" t="str">
        <f t="shared" si="3"/>
        <v>2.50</v>
      </c>
      <c r="M38" s="2">
        <v>3</v>
      </c>
      <c r="N38" s="103">
        <f>First_Semester_SGPA[[#This Row],[Information Systems Engineering]]*First_Semester_SGPA[[#This Row],[Information Systems Engineering Credit]]</f>
        <v>7.5</v>
      </c>
      <c r="O38" s="103">
        <f t="shared" si="4"/>
        <v>30.75</v>
      </c>
      <c r="P38" s="2">
        <f t="shared" si="6"/>
        <v>12</v>
      </c>
      <c r="Q38" s="28">
        <f>First_Semester_SGPA[[#This Row],[Total Subject (Total Grade + Credit)]]/First_Semester_SGPA[[#This Row],[Total Subject Credit]]</f>
        <v>2.5625</v>
      </c>
    </row>
    <row r="39" spans="1:21" x14ac:dyDescent="0.25">
      <c r="A39" s="2" t="s">
        <v>24</v>
      </c>
      <c r="B39" s="7" t="s">
        <v>45</v>
      </c>
      <c r="C39" s="28" t="str">
        <f t="shared" si="0"/>
        <v>2.00</v>
      </c>
      <c r="D39" s="2">
        <v>3</v>
      </c>
      <c r="E39" s="103">
        <f>First_Semester_SGPA[[#This Row],[English Language - I]]*First_Semester_SGPA[[#This Row],[English Language - I Credit]]</f>
        <v>6</v>
      </c>
      <c r="F39" s="28" t="str">
        <f t="shared" si="1"/>
        <v>2.25</v>
      </c>
      <c r="G39" s="2">
        <v>3</v>
      </c>
      <c r="H39" s="103">
        <f>First_Semester_SGPA[[#This Row],[Mathematics - I]]*First_Semester_SGPA[[#This Row],[Mathematics - I Credit]]</f>
        <v>6.75</v>
      </c>
      <c r="I39" s="28" t="str">
        <f t="shared" si="2"/>
        <v>3.75</v>
      </c>
      <c r="J39" s="2">
        <v>3</v>
      </c>
      <c r="K39" s="103">
        <f>First_Semester_SGPA[[#This Row],[Computer Fundamentals]]*First_Semester_SGPA[[#This Row],[Computer Fundamentals Credit]]</f>
        <v>11.25</v>
      </c>
      <c r="L39" s="28" t="str">
        <f t="shared" si="3"/>
        <v>0.00</v>
      </c>
      <c r="M39" s="2">
        <v>3</v>
      </c>
      <c r="N39" s="103">
        <f>First_Semester_SGPA[[#This Row],[Information Systems Engineering]]*First_Semester_SGPA[[#This Row],[Information Systems Engineering Credit]]</f>
        <v>0</v>
      </c>
      <c r="O39" s="103">
        <f t="shared" si="4"/>
        <v>24</v>
      </c>
      <c r="P39" s="2">
        <f t="shared" si="6"/>
        <v>12</v>
      </c>
      <c r="Q39" s="28">
        <f>First_Semester_SGPA[[#This Row],[Total Subject (Total Grade + Credit)]]/First_Semester_SGPA[[#This Row],[Total Subject Credit]]</f>
        <v>2</v>
      </c>
    </row>
    <row r="40" spans="1:21" x14ac:dyDescent="0.25">
      <c r="A40" s="2" t="s">
        <v>25</v>
      </c>
      <c r="B40" s="7" t="s">
        <v>46</v>
      </c>
      <c r="C40" s="28" t="str">
        <f t="shared" si="0"/>
        <v>3.00</v>
      </c>
      <c r="D40" s="2">
        <v>3</v>
      </c>
      <c r="E40" s="103">
        <f>First_Semester_SGPA[[#This Row],[English Language - I]]*First_Semester_SGPA[[#This Row],[English Language - I Credit]]</f>
        <v>9</v>
      </c>
      <c r="F40" s="28" t="str">
        <f t="shared" si="1"/>
        <v>0.00</v>
      </c>
      <c r="G40" s="2">
        <v>3</v>
      </c>
      <c r="H40" s="103">
        <f>First_Semester_SGPA[[#This Row],[Mathematics - I]]*First_Semester_SGPA[[#This Row],[Mathematics - I Credit]]</f>
        <v>0</v>
      </c>
      <c r="I40" s="28" t="str">
        <f t="shared" si="2"/>
        <v>2.75</v>
      </c>
      <c r="J40" s="2">
        <v>3</v>
      </c>
      <c r="K40" s="103">
        <f>First_Semester_SGPA[[#This Row],[Computer Fundamentals]]*First_Semester_SGPA[[#This Row],[Computer Fundamentals Credit]]</f>
        <v>8.25</v>
      </c>
      <c r="L40" s="28" t="str">
        <f t="shared" si="3"/>
        <v>2.75</v>
      </c>
      <c r="M40" s="2">
        <v>3</v>
      </c>
      <c r="N40" s="103">
        <f>First_Semester_SGPA[[#This Row],[Information Systems Engineering]]*First_Semester_SGPA[[#This Row],[Information Systems Engineering Credit]]</f>
        <v>8.25</v>
      </c>
      <c r="O40" s="103">
        <f t="shared" si="4"/>
        <v>25.5</v>
      </c>
      <c r="P40" s="2">
        <f t="shared" si="6"/>
        <v>12</v>
      </c>
      <c r="Q40" s="28">
        <f>First_Semester_SGPA[[#This Row],[Total Subject (Total Grade + Credit)]]/First_Semester_SGPA[[#This Row],[Total Subject Credit]]</f>
        <v>2.125</v>
      </c>
    </row>
    <row r="41" spans="1:21" x14ac:dyDescent="0.25">
      <c r="A41" s="2" t="s">
        <v>26</v>
      </c>
      <c r="B41" s="7" t="s">
        <v>47</v>
      </c>
      <c r="C41" s="28" t="str">
        <f t="shared" si="0"/>
        <v>4.00</v>
      </c>
      <c r="D41" s="2">
        <v>3</v>
      </c>
      <c r="E41" s="103">
        <f>First_Semester_SGPA[[#This Row],[English Language - I]]*First_Semester_SGPA[[#This Row],[English Language - I Credit]]</f>
        <v>12</v>
      </c>
      <c r="F41" s="28" t="str">
        <f t="shared" si="1"/>
        <v>2.75</v>
      </c>
      <c r="G41" s="2">
        <v>3</v>
      </c>
      <c r="H41" s="103">
        <f>First_Semester_SGPA[[#This Row],[Mathematics - I]]*First_Semester_SGPA[[#This Row],[Mathematics - I Credit]]</f>
        <v>8.25</v>
      </c>
      <c r="I41" s="28" t="str">
        <f t="shared" si="2"/>
        <v>2.00</v>
      </c>
      <c r="J41" s="2">
        <v>3</v>
      </c>
      <c r="K41" s="103">
        <f>First_Semester_SGPA[[#This Row],[Computer Fundamentals]]*First_Semester_SGPA[[#This Row],[Computer Fundamentals Credit]]</f>
        <v>6</v>
      </c>
      <c r="L41" s="28" t="str">
        <f t="shared" si="3"/>
        <v>2.75</v>
      </c>
      <c r="M41" s="2">
        <v>3</v>
      </c>
      <c r="N41" s="103">
        <f>First_Semester_SGPA[[#This Row],[Information Systems Engineering]]*First_Semester_SGPA[[#This Row],[Information Systems Engineering Credit]]</f>
        <v>8.25</v>
      </c>
      <c r="O41" s="103">
        <f t="shared" si="4"/>
        <v>34.5</v>
      </c>
      <c r="P41" s="2">
        <f t="shared" si="6"/>
        <v>12</v>
      </c>
      <c r="Q41" s="28">
        <f>First_Semester_SGPA[[#This Row],[Total Subject (Total Grade + Credit)]]/First_Semester_SGPA[[#This Row],[Total Subject Credit]]</f>
        <v>2.875</v>
      </c>
    </row>
    <row r="42" spans="1:21" x14ac:dyDescent="0.25">
      <c r="A42" s="2" t="s">
        <v>50</v>
      </c>
      <c r="B42" s="7" t="s">
        <v>51</v>
      </c>
      <c r="C42" s="28" t="str">
        <f t="shared" si="0"/>
        <v>2.50</v>
      </c>
      <c r="D42" s="2">
        <v>3</v>
      </c>
      <c r="E42" s="103">
        <f>First_Semester_SGPA[[#This Row],[English Language - I]]*First_Semester_SGPA[[#This Row],[English Language - I Credit]]</f>
        <v>7.5</v>
      </c>
      <c r="F42" s="28" t="str">
        <f t="shared" si="1"/>
        <v>3.50</v>
      </c>
      <c r="G42" s="2">
        <v>3</v>
      </c>
      <c r="H42" s="103">
        <f>First_Semester_SGPA[[#This Row],[Mathematics - I]]*First_Semester_SGPA[[#This Row],[Mathematics - I Credit]]</f>
        <v>10.5</v>
      </c>
      <c r="I42" s="28" t="str">
        <f t="shared" si="2"/>
        <v>3.50</v>
      </c>
      <c r="J42" s="2">
        <v>3</v>
      </c>
      <c r="K42" s="103">
        <f>First_Semester_SGPA[[#This Row],[Computer Fundamentals]]*First_Semester_SGPA[[#This Row],[Computer Fundamentals Credit]]</f>
        <v>10.5</v>
      </c>
      <c r="L42" s="28" t="str">
        <f t="shared" si="3"/>
        <v>3.00</v>
      </c>
      <c r="M42" s="2">
        <v>3</v>
      </c>
      <c r="N42" s="103">
        <f>First_Semester_SGPA[[#This Row],[Information Systems Engineering]]*First_Semester_SGPA[[#This Row],[Information Systems Engineering Credit]]</f>
        <v>9</v>
      </c>
      <c r="O42" s="103">
        <f t="shared" si="4"/>
        <v>37.5</v>
      </c>
      <c r="P42" s="2">
        <f t="shared" si="6"/>
        <v>12</v>
      </c>
      <c r="Q42" s="28">
        <f>First_Semester_SGPA[[#This Row],[Total Subject (Total Grade + Credit)]]/First_Semester_SGPA[[#This Row],[Total Subject Credit]]</f>
        <v>3.125</v>
      </c>
    </row>
    <row r="43" spans="1:21" x14ac:dyDescent="0.25">
      <c r="A43" s="2" t="s">
        <v>53</v>
      </c>
      <c r="B43" s="7" t="s">
        <v>54</v>
      </c>
      <c r="C43" s="28" t="str">
        <f t="shared" si="0"/>
        <v>2.75</v>
      </c>
      <c r="D43" s="2">
        <v>3</v>
      </c>
      <c r="E43" s="103">
        <f>First_Semester_SGPA[[#This Row],[English Language - I]]*First_Semester_SGPA[[#This Row],[English Language - I Credit]]</f>
        <v>8.25</v>
      </c>
      <c r="F43" s="28" t="str">
        <f t="shared" si="1"/>
        <v>2.25</v>
      </c>
      <c r="G43" s="2">
        <v>3</v>
      </c>
      <c r="H43" s="103">
        <f>First_Semester_SGPA[[#This Row],[Mathematics - I]]*First_Semester_SGPA[[#This Row],[Mathematics - I Credit]]</f>
        <v>6.75</v>
      </c>
      <c r="I43" s="28" t="str">
        <f t="shared" si="2"/>
        <v>3.25</v>
      </c>
      <c r="J43" s="2">
        <v>3</v>
      </c>
      <c r="K43" s="103">
        <f>First_Semester_SGPA[[#This Row],[Computer Fundamentals]]*First_Semester_SGPA[[#This Row],[Computer Fundamentals Credit]]</f>
        <v>9.75</v>
      </c>
      <c r="L43" s="28" t="str">
        <f t="shared" si="3"/>
        <v>2.25</v>
      </c>
      <c r="M43" s="2">
        <v>3</v>
      </c>
      <c r="N43" s="103">
        <f>First_Semester_SGPA[[#This Row],[Information Systems Engineering]]*First_Semester_SGPA[[#This Row],[Information Systems Engineering Credit]]</f>
        <v>6.75</v>
      </c>
      <c r="O43" s="103">
        <f t="shared" si="4"/>
        <v>31.5</v>
      </c>
      <c r="P43" s="2">
        <f t="shared" si="6"/>
        <v>12</v>
      </c>
      <c r="Q43" s="28">
        <f>First_Semester_SGPA[[#This Row],[Total Subject (Total Grade + Credit)]]/First_Semester_SGPA[[#This Row],[Total Subject Credit]]</f>
        <v>2.625</v>
      </c>
    </row>
    <row r="44" spans="1:21" x14ac:dyDescent="0.25">
      <c r="A44" s="2" t="s">
        <v>60</v>
      </c>
      <c r="B44" s="7" t="s">
        <v>61</v>
      </c>
      <c r="C44" s="28" t="str">
        <f t="shared" si="0"/>
        <v>2.00</v>
      </c>
      <c r="D44" s="2">
        <v>3</v>
      </c>
      <c r="E44" s="103">
        <f>First_Semester_SGPA[[#This Row],[English Language - I]]*First_Semester_SGPA[[#This Row],[English Language - I Credit]]</f>
        <v>6</v>
      </c>
      <c r="F44" s="28" t="str">
        <f t="shared" si="1"/>
        <v>2.25</v>
      </c>
      <c r="G44" s="2">
        <v>3</v>
      </c>
      <c r="H44" s="103">
        <f>First_Semester_SGPA[[#This Row],[Mathematics - I]]*First_Semester_SGPA[[#This Row],[Mathematics - I Credit]]</f>
        <v>6.75</v>
      </c>
      <c r="I44" s="28" t="str">
        <f t="shared" si="2"/>
        <v>2.75</v>
      </c>
      <c r="J44" s="2">
        <v>3</v>
      </c>
      <c r="K44" s="103">
        <f>First_Semester_SGPA[[#This Row],[Computer Fundamentals]]*First_Semester_SGPA[[#This Row],[Computer Fundamentals Credit]]</f>
        <v>8.25</v>
      </c>
      <c r="L44" s="28" t="str">
        <f t="shared" si="3"/>
        <v>2.75</v>
      </c>
      <c r="M44" s="2">
        <v>3</v>
      </c>
      <c r="N44" s="103">
        <f>First_Semester_SGPA[[#This Row],[Information Systems Engineering]]*First_Semester_SGPA[[#This Row],[Information Systems Engineering Credit]]</f>
        <v>8.25</v>
      </c>
      <c r="O44" s="103">
        <f t="shared" si="4"/>
        <v>29.25</v>
      </c>
      <c r="P44" s="2">
        <f t="shared" si="6"/>
        <v>12</v>
      </c>
      <c r="Q44" s="28">
        <f>First_Semester_SGPA[[#This Row],[Total Subject (Total Grade + Credit)]]/First_Semester_SGPA[[#This Row],[Total Subject Credit]]</f>
        <v>2.4375</v>
      </c>
    </row>
    <row r="56" spans="1:21" x14ac:dyDescent="0.25">
      <c r="R56" s="9"/>
      <c r="S56" s="9"/>
    </row>
    <row r="57" spans="1:21" x14ac:dyDescent="0.25">
      <c r="R57" s="9"/>
      <c r="S57" s="9"/>
    </row>
    <row r="58" spans="1:21" x14ac:dyDescent="0.25">
      <c r="R58" s="9"/>
      <c r="S58" s="9"/>
    </row>
    <row r="59" spans="1:21" ht="15" customHeight="1" x14ac:dyDescent="0.25">
      <c r="A59" s="67"/>
      <c r="B59" s="67"/>
      <c r="C59" s="67"/>
      <c r="D59" s="67"/>
      <c r="E59" s="67"/>
      <c r="F59" s="67"/>
      <c r="G59" s="67"/>
      <c r="H59" s="67"/>
      <c r="I59" s="67"/>
      <c r="J59" s="67"/>
      <c r="K59" s="67"/>
      <c r="L59" s="67"/>
      <c r="M59" s="67"/>
      <c r="N59" s="67"/>
      <c r="O59" s="67"/>
      <c r="P59" s="67"/>
      <c r="Q59" s="67"/>
      <c r="R59" s="67"/>
      <c r="S59" s="67"/>
      <c r="T59" s="67"/>
    </row>
    <row r="60" spans="1:21" s="218" customFormat="1" ht="27" customHeight="1" x14ac:dyDescent="0.25">
      <c r="A60" s="293" t="s">
        <v>163</v>
      </c>
      <c r="B60" s="293"/>
      <c r="C60" s="56" t="s">
        <v>165</v>
      </c>
      <c r="D60" s="56"/>
      <c r="E60" s="56"/>
      <c r="F60" s="294" t="s">
        <v>335</v>
      </c>
      <c r="G60" s="294"/>
      <c r="H60" s="294"/>
      <c r="I60" s="294"/>
      <c r="J60" s="294"/>
      <c r="K60" s="294"/>
      <c r="L60" s="294"/>
      <c r="M60" s="56"/>
      <c r="N60" s="56"/>
      <c r="O60" s="56"/>
      <c r="P60" s="56"/>
      <c r="Q60" s="56"/>
      <c r="R60" s="56"/>
      <c r="S60" s="64" t="s">
        <v>167</v>
      </c>
      <c r="T60" s="65">
        <v>44314</v>
      </c>
      <c r="U60" s="58"/>
    </row>
    <row r="61" spans="1:21" ht="27" customHeight="1" thickBot="1" x14ac:dyDescent="0.3">
      <c r="A61" s="296" t="s">
        <v>164</v>
      </c>
      <c r="B61" s="296"/>
      <c r="C61" s="63" t="s">
        <v>166</v>
      </c>
      <c r="D61" s="63"/>
      <c r="E61" s="62"/>
      <c r="F61" s="295"/>
      <c r="G61" s="295"/>
      <c r="H61" s="295"/>
      <c r="I61" s="295"/>
      <c r="J61" s="295"/>
      <c r="K61" s="295"/>
      <c r="L61" s="295"/>
      <c r="M61" s="32"/>
      <c r="N61" s="32"/>
      <c r="O61" s="32"/>
      <c r="P61" s="32"/>
      <c r="Q61" s="32"/>
      <c r="R61" s="32"/>
      <c r="S61" s="61" t="s">
        <v>168</v>
      </c>
      <c r="T61" s="66">
        <v>0.91666666666666663</v>
      </c>
    </row>
    <row r="62" spans="1:21" x14ac:dyDescent="0.25">
      <c r="A62" s="58" t="s">
        <v>0</v>
      </c>
      <c r="B62" s="57" t="s">
        <v>20</v>
      </c>
      <c r="C62" s="2" t="s">
        <v>132</v>
      </c>
      <c r="D62" s="2" t="s">
        <v>133</v>
      </c>
      <c r="E62" s="2" t="s">
        <v>134</v>
      </c>
      <c r="F62" s="2" t="s">
        <v>135</v>
      </c>
      <c r="G62" s="27" t="s">
        <v>136</v>
      </c>
      <c r="H62" s="2" t="s">
        <v>137</v>
      </c>
      <c r="I62" s="2" t="s">
        <v>138</v>
      </c>
      <c r="J62" s="2" t="s">
        <v>139</v>
      </c>
      <c r="K62" s="103" t="s">
        <v>140</v>
      </c>
      <c r="L62" s="60" t="s">
        <v>141</v>
      </c>
      <c r="M62" s="2" t="s">
        <v>143</v>
      </c>
      <c r="N62" s="2" t="s">
        <v>144</v>
      </c>
      <c r="O62" s="103" t="s">
        <v>145</v>
      </c>
      <c r="P62" s="33" t="s">
        <v>146</v>
      </c>
      <c r="Q62" s="48" t="s">
        <v>147</v>
      </c>
      <c r="R62" s="48" t="s">
        <v>148</v>
      </c>
      <c r="S62" s="48" t="s">
        <v>149</v>
      </c>
      <c r="T62" s="60" t="s">
        <v>150</v>
      </c>
    </row>
    <row r="63" spans="1:21" x14ac:dyDescent="0.25">
      <c r="A63" s="15"/>
      <c r="B63" s="49" t="s">
        <v>142</v>
      </c>
      <c r="C63" s="50">
        <v>15</v>
      </c>
      <c r="D63" s="50">
        <v>15</v>
      </c>
      <c r="E63" s="50">
        <v>15</v>
      </c>
      <c r="F63" s="51">
        <v>15</v>
      </c>
      <c r="G63" s="52">
        <v>15</v>
      </c>
      <c r="H63" s="50">
        <v>5</v>
      </c>
      <c r="I63" s="50">
        <v>8</v>
      </c>
      <c r="J63" s="50">
        <v>7</v>
      </c>
      <c r="K63" s="51">
        <v>20</v>
      </c>
      <c r="L63" s="52">
        <v>20</v>
      </c>
      <c r="M63" s="50">
        <v>25</v>
      </c>
      <c r="N63" s="50">
        <v>40</v>
      </c>
      <c r="O63" s="53">
        <v>65</v>
      </c>
      <c r="P63" s="54">
        <v>65</v>
      </c>
      <c r="Q63" s="55">
        <v>100</v>
      </c>
      <c r="R63" s="55" t="s">
        <v>151</v>
      </c>
      <c r="S63" s="54" t="s">
        <v>152</v>
      </c>
      <c r="T63" s="54" t="s">
        <v>153</v>
      </c>
      <c r="U63" s="21"/>
    </row>
    <row r="64" spans="1:21" x14ac:dyDescent="0.25">
      <c r="A64" s="1" t="s">
        <v>57</v>
      </c>
      <c r="B64" s="29" t="s">
        <v>58</v>
      </c>
      <c r="C64" s="28">
        <v>14.666666666666666</v>
      </c>
      <c r="D64" s="28">
        <v>1.3333333333333333</v>
      </c>
      <c r="E64" s="28">
        <v>4</v>
      </c>
      <c r="F64" s="28">
        <f>(((SUM(First_Semester_English_I[[#This Row],[Quiz 1]:[Quiz 3]]))/SUM($C$63:$E$63))*$F$63)</f>
        <v>6.6666666666666661</v>
      </c>
      <c r="G64" s="27">
        <f>ROUND(First_Semester_English_I[[#This Row],[Quiz Average]],0)</f>
        <v>7</v>
      </c>
      <c r="H64" s="31">
        <v>2</v>
      </c>
      <c r="I64" s="31">
        <v>4</v>
      </c>
      <c r="J64" s="31">
        <v>7</v>
      </c>
      <c r="K64" s="2">
        <f>SUM(First_Semester_English_I[[#This Row],[Assignment]:[Attendance]])</f>
        <v>13</v>
      </c>
      <c r="L64" s="27">
        <f>ROUND(First_Semester_English_I[[#This Row],[Total out of APA]],0)</f>
        <v>13</v>
      </c>
      <c r="M64" s="28">
        <v>4</v>
      </c>
      <c r="N64" s="28">
        <v>18.5</v>
      </c>
      <c r="O64" s="28">
        <f>SUM(First_Semester_English_I[[#This Row],[Midterm]:[Final]])</f>
        <v>22.5</v>
      </c>
      <c r="P64" s="42">
        <f>ROUND(First_Semester_English_I[[#This Row],[Mid &amp; Final]],0)</f>
        <v>23</v>
      </c>
      <c r="Q64" s="42">
        <f>SUM(G64,L64,P64)</f>
        <v>43</v>
      </c>
      <c r="R64" s="46" t="str">
        <f>IF(Q64&gt;79,"A+",IF(Q64&gt;74,"A",IF(Q64&gt;69,"A-",IF(Q64&gt;64,"B+",IF(Q64&gt;59,"B",IF(Q64&gt;54,"B-",IF(Q64&gt;49,"C+",IF(Q64&gt;44,"C",IF(Q64&gt;39,"D",IF(Q64&gt;0,"F","N/A"))))))))))</f>
        <v>D</v>
      </c>
      <c r="S64" s="44" t="str">
        <f>IF(Q64&gt;79,"4.00",IF(Q64&gt;74,"3.75",IF(Q64&gt;69,"3.50",IF(Q64&gt;64,"3.25",IF(Q64&gt;59,"3.00",IF(Q64&gt;54,"2.75",IF(Q64&gt;49,"2.50",IF(Q64&gt;44,"2.25",IF(Q64&gt;39,"2.00",IF(Q64&gt;0,"0.00","N/A"))))))))))</f>
        <v>2.00</v>
      </c>
      <c r="T64" s="34" t="str">
        <f>IF(Q64&gt;79,"Outstanding",IF(Q64&gt;74,"Excellent",IF(Q64&gt;69,"Very Good",IF(Q64&gt;64,"Good",IF(Q64&gt;59,"Satisfactory",IF(Q64&gt;54,"Above Average",IF(Q64&gt;49,"Average",IF(Q64&gt;44,"Bellow Average",IF(Q64&gt;39,"Pass",IF(Q64&gt;0,"Fail","N/A"))))))))))</f>
        <v>Pass</v>
      </c>
    </row>
    <row r="65" spans="1:22" x14ac:dyDescent="0.25">
      <c r="A65" s="1" t="s">
        <v>56</v>
      </c>
      <c r="B65" s="29" t="s">
        <v>59</v>
      </c>
      <c r="C65" s="28">
        <v>4.333333333333333</v>
      </c>
      <c r="D65" s="28">
        <v>1.6666666666666667</v>
      </c>
      <c r="E65" s="28">
        <v>11</v>
      </c>
      <c r="F65" s="28">
        <f>(((SUM(First_Semester_English_I[[#This Row],[Quiz 1]:[Quiz 3]]))/SUM($C$63:$E$63))*$F$63)</f>
        <v>5.6666666666666661</v>
      </c>
      <c r="G65" s="27">
        <f>ROUND(First_Semester_English_I[[#This Row],[Quiz Average]],0)</f>
        <v>6</v>
      </c>
      <c r="H65" s="31">
        <v>5</v>
      </c>
      <c r="I65" s="31">
        <v>3</v>
      </c>
      <c r="J65" s="31">
        <v>4</v>
      </c>
      <c r="K65" s="2">
        <f>SUM(First_Semester_English_I[[#This Row],[Assignment]:[Attendance]])</f>
        <v>12</v>
      </c>
      <c r="L65" s="27">
        <f>ROUND(First_Semester_English_I[[#This Row],[Total out of APA]],0)</f>
        <v>12</v>
      </c>
      <c r="M65" s="28">
        <v>17</v>
      </c>
      <c r="N65" s="28">
        <v>29.5</v>
      </c>
      <c r="O65" s="28">
        <f>SUM(First_Semester_English_I[[#This Row],[Midterm]:[Final]])</f>
        <v>46.5</v>
      </c>
      <c r="P65" s="42">
        <f>ROUND(First_Semester_English_I[[#This Row],[Mid &amp; Final]],0)</f>
        <v>47</v>
      </c>
      <c r="Q65" s="42">
        <f t="shared" ref="Q65:Q91" si="7">SUM(G65,L65,P65)</f>
        <v>65</v>
      </c>
      <c r="R65" s="46" t="str">
        <f t="shared" ref="R65:R91" si="8">IF(Q65&gt;79,"A+",IF(Q65&gt;74,"A",IF(Q65&gt;69,"A-",IF(Q65&gt;64,"B+",IF(Q65&gt;59,"B",IF(Q65&gt;54,"B-",IF(Q65&gt;49,"C+",IF(Q65&gt;44,"C",IF(Q65&gt;39,"D",IF(Q65&gt;0,"F","N/A"))))))))))</f>
        <v>B+</v>
      </c>
      <c r="S65" s="44" t="str">
        <f t="shared" ref="S65:S91" si="9">IF(Q65&gt;79,"4.00",IF(Q65&gt;74,"3.75",IF(Q65&gt;69,"3.50",IF(Q65&gt;64,"3.25",IF(Q65&gt;59,"3.00",IF(Q65&gt;54,"2.75",IF(Q65&gt;49,"2.50",IF(Q65&gt;44,"2.25",IF(Q65&gt;39,"2.00",IF(Q65&gt;0,"0.00","N/A"))))))))))</f>
        <v>3.25</v>
      </c>
      <c r="T65" s="34" t="str">
        <f t="shared" ref="T65:T91" si="10">IF(Q65&gt;79,"Outstanding",IF(Q65&gt;74,"Excellent",IF(Q65&gt;69,"Very Good",IF(Q65&gt;64,"Good",IF(Q65&gt;59,"Satisfactory",IF(Q65&gt;54,"Above Average",IF(Q65&gt;49,"Average",IF(Q65&gt;44,"Bellow Average",IF(Q65&gt;39,"Pass",IF(Q65&gt;0,"Fail","N/A"))))))))))</f>
        <v>Good</v>
      </c>
    </row>
    <row r="66" spans="1:22" x14ac:dyDescent="0.25">
      <c r="A66" s="1" t="s">
        <v>1</v>
      </c>
      <c r="B66" s="29" t="s">
        <v>27</v>
      </c>
      <c r="C66" s="28">
        <v>6.666666666666667</v>
      </c>
      <c r="D66" s="28">
        <v>10</v>
      </c>
      <c r="E66" s="28">
        <v>10.333333333333334</v>
      </c>
      <c r="F66" s="28">
        <f>(((SUM(First_Semester_English_I[[#This Row],[Quiz 1]:[Quiz 3]]))/SUM($C$63:$E$63))*$F$63)</f>
        <v>9</v>
      </c>
      <c r="G66" s="27">
        <f>ROUND(First_Semester_English_I[[#This Row],[Quiz Average]],0)</f>
        <v>9</v>
      </c>
      <c r="H66" s="31">
        <v>4</v>
      </c>
      <c r="I66" s="31">
        <v>8</v>
      </c>
      <c r="J66" s="31">
        <v>7</v>
      </c>
      <c r="K66" s="2">
        <f>SUM(First_Semester_English_I[[#This Row],[Assignment]:[Attendance]])</f>
        <v>19</v>
      </c>
      <c r="L66" s="27">
        <f>ROUND(First_Semester_English_I[[#This Row],[Total out of APA]],0)</f>
        <v>19</v>
      </c>
      <c r="M66" s="28">
        <v>20.5</v>
      </c>
      <c r="N66" s="28">
        <v>15</v>
      </c>
      <c r="O66" s="28">
        <f>SUM(First_Semester_English_I[[#This Row],[Midterm]:[Final]])</f>
        <v>35.5</v>
      </c>
      <c r="P66" s="42">
        <f>ROUND(First_Semester_English_I[[#This Row],[Mid &amp; Final]],0)</f>
        <v>36</v>
      </c>
      <c r="Q66" s="42">
        <f t="shared" si="7"/>
        <v>64</v>
      </c>
      <c r="R66" s="46" t="str">
        <f t="shared" si="8"/>
        <v>B</v>
      </c>
      <c r="S66" s="44" t="str">
        <f t="shared" si="9"/>
        <v>3.00</v>
      </c>
      <c r="T66" s="34" t="str">
        <f t="shared" si="10"/>
        <v>Satisfactory</v>
      </c>
    </row>
    <row r="67" spans="1:22" x14ac:dyDescent="0.25">
      <c r="A67" s="1" t="s">
        <v>2</v>
      </c>
      <c r="B67" s="29" t="s">
        <v>28</v>
      </c>
      <c r="C67" s="28">
        <v>11.666666666666666</v>
      </c>
      <c r="D67" s="28">
        <v>14.666666666666666</v>
      </c>
      <c r="E67" s="28">
        <v>5.666666666666667</v>
      </c>
      <c r="F67" s="28">
        <f>(((SUM(First_Semester_English_I[[#This Row],[Quiz 1]:[Quiz 3]]))/SUM($C$63:$E$63))*$F$63)</f>
        <v>10.666666666666668</v>
      </c>
      <c r="G67" s="27">
        <f>ROUND(First_Semester_English_I[[#This Row],[Quiz Average]],0)</f>
        <v>11</v>
      </c>
      <c r="H67" s="31">
        <v>2</v>
      </c>
      <c r="I67" s="31">
        <v>2</v>
      </c>
      <c r="J67" s="31">
        <v>3</v>
      </c>
      <c r="K67" s="2">
        <f>SUM(First_Semester_English_I[[#This Row],[Assignment]:[Attendance]])</f>
        <v>7</v>
      </c>
      <c r="L67" s="27">
        <f>ROUND(First_Semester_English_I[[#This Row],[Total out of APA]],0)</f>
        <v>7</v>
      </c>
      <c r="M67" s="28">
        <v>20</v>
      </c>
      <c r="N67" s="28">
        <v>35</v>
      </c>
      <c r="O67" s="28">
        <f>SUM(First_Semester_English_I[[#This Row],[Midterm]:[Final]])</f>
        <v>55</v>
      </c>
      <c r="P67" s="42">
        <f>ROUND(First_Semester_English_I[[#This Row],[Mid &amp; Final]],0)</f>
        <v>55</v>
      </c>
      <c r="Q67" s="42">
        <f t="shared" si="7"/>
        <v>73</v>
      </c>
      <c r="R67" s="46" t="str">
        <f t="shared" si="8"/>
        <v>A-</v>
      </c>
      <c r="S67" s="44" t="str">
        <f t="shared" si="9"/>
        <v>3.50</v>
      </c>
      <c r="T67" s="34" t="str">
        <f t="shared" si="10"/>
        <v>Very Good</v>
      </c>
    </row>
    <row r="68" spans="1:22" x14ac:dyDescent="0.25">
      <c r="A68" s="1" t="s">
        <v>3</v>
      </c>
      <c r="B68" s="29" t="s">
        <v>29</v>
      </c>
      <c r="C68" s="28">
        <v>7</v>
      </c>
      <c r="D68" s="28">
        <v>4.333333333333333</v>
      </c>
      <c r="E68" s="28">
        <v>11.666666666666666</v>
      </c>
      <c r="F68" s="28">
        <f>(((SUM(First_Semester_English_I[[#This Row],[Quiz 1]:[Quiz 3]]))/SUM($C$63:$E$63))*$F$63)</f>
        <v>7.6666666666666661</v>
      </c>
      <c r="G68" s="27">
        <f>ROUND(First_Semester_English_I[[#This Row],[Quiz Average]],0)</f>
        <v>8</v>
      </c>
      <c r="H68" s="31">
        <v>2</v>
      </c>
      <c r="I68" s="31">
        <v>8</v>
      </c>
      <c r="J68" s="31">
        <v>5</v>
      </c>
      <c r="K68" s="2">
        <f>SUM(First_Semester_English_I[[#This Row],[Assignment]:[Attendance]])</f>
        <v>15</v>
      </c>
      <c r="L68" s="27">
        <f>ROUND(First_Semester_English_I[[#This Row],[Total out of APA]],0)</f>
        <v>15</v>
      </c>
      <c r="M68" s="28">
        <v>15</v>
      </c>
      <c r="N68" s="28">
        <v>27.5</v>
      </c>
      <c r="O68" s="28">
        <f>SUM(First_Semester_English_I[[#This Row],[Midterm]:[Final]])</f>
        <v>42.5</v>
      </c>
      <c r="P68" s="42">
        <f>ROUND(First_Semester_English_I[[#This Row],[Mid &amp; Final]],0)</f>
        <v>43</v>
      </c>
      <c r="Q68" s="42">
        <f t="shared" si="7"/>
        <v>66</v>
      </c>
      <c r="R68" s="46" t="str">
        <f t="shared" si="8"/>
        <v>B+</v>
      </c>
      <c r="S68" s="44" t="str">
        <f t="shared" si="9"/>
        <v>3.25</v>
      </c>
      <c r="T68" s="34" t="str">
        <f t="shared" si="10"/>
        <v>Good</v>
      </c>
    </row>
    <row r="69" spans="1:22" x14ac:dyDescent="0.25">
      <c r="A69" s="1" t="s">
        <v>4</v>
      </c>
      <c r="B69" s="29" t="s">
        <v>30</v>
      </c>
      <c r="C69" s="28">
        <v>5</v>
      </c>
      <c r="D69" s="28">
        <v>14</v>
      </c>
      <c r="E69" s="28">
        <v>7.666666666666667</v>
      </c>
      <c r="F69" s="28">
        <f>(((SUM(First_Semester_English_I[[#This Row],[Quiz 1]:[Quiz 3]]))/SUM($C$63:$E$63))*$F$63)</f>
        <v>8.8888888888888893</v>
      </c>
      <c r="G69" s="27">
        <f>ROUND(First_Semester_English_I[[#This Row],[Quiz Average]],0)</f>
        <v>9</v>
      </c>
      <c r="H69" s="31">
        <v>2</v>
      </c>
      <c r="I69" s="31">
        <v>2</v>
      </c>
      <c r="J69" s="31">
        <v>7</v>
      </c>
      <c r="K69" s="2">
        <f>SUM(First_Semester_English_I[[#This Row],[Assignment]:[Attendance]])</f>
        <v>11</v>
      </c>
      <c r="L69" s="27">
        <f>ROUND(First_Semester_English_I[[#This Row],[Total out of APA]],0)</f>
        <v>11</v>
      </c>
      <c r="M69" s="28">
        <v>18</v>
      </c>
      <c r="N69" s="28">
        <v>19.5</v>
      </c>
      <c r="O69" s="28">
        <f>SUM(First_Semester_English_I[[#This Row],[Midterm]:[Final]])</f>
        <v>37.5</v>
      </c>
      <c r="P69" s="42">
        <f>ROUND(First_Semester_English_I[[#This Row],[Mid &amp; Final]],0)</f>
        <v>38</v>
      </c>
      <c r="Q69" s="42">
        <f t="shared" si="7"/>
        <v>58</v>
      </c>
      <c r="R69" s="46" t="str">
        <f t="shared" si="8"/>
        <v>B-</v>
      </c>
      <c r="S69" s="44" t="str">
        <f t="shared" si="9"/>
        <v>2.75</v>
      </c>
      <c r="T69" s="34" t="str">
        <f t="shared" si="10"/>
        <v>Above Average</v>
      </c>
    </row>
    <row r="70" spans="1:22" x14ac:dyDescent="0.25">
      <c r="A70" s="210" t="s">
        <v>5</v>
      </c>
      <c r="B70" s="211" t="s">
        <v>31</v>
      </c>
      <c r="C70" s="209"/>
      <c r="D70" s="209"/>
      <c r="E70" s="209"/>
      <c r="F70" s="209"/>
      <c r="G70" s="212"/>
      <c r="H70" s="213"/>
      <c r="I70" s="213"/>
      <c r="J70" s="213"/>
      <c r="K70" s="208"/>
      <c r="L70" s="212"/>
      <c r="M70" s="209"/>
      <c r="N70" s="209"/>
      <c r="O70" s="209"/>
      <c r="P70" s="214"/>
      <c r="Q70" s="214"/>
      <c r="R70" s="215"/>
      <c r="S70" s="216"/>
      <c r="T70" s="217"/>
      <c r="U70" s="21"/>
    </row>
    <row r="71" spans="1:22" x14ac:dyDescent="0.25">
      <c r="A71" s="1" t="s">
        <v>6</v>
      </c>
      <c r="B71" s="29" t="s">
        <v>32</v>
      </c>
      <c r="C71" s="28">
        <v>3</v>
      </c>
      <c r="D71" s="28">
        <v>3</v>
      </c>
      <c r="E71" s="28">
        <v>9</v>
      </c>
      <c r="F71" s="28">
        <f>(((SUM(First_Semester_English_I[[#This Row],[Quiz 1]:[Quiz 3]]))/SUM($C$63:$E$63))*$F$63)</f>
        <v>5</v>
      </c>
      <c r="G71" s="27">
        <f>ROUND(First_Semester_English_I[[#This Row],[Quiz Average]],0)</f>
        <v>5</v>
      </c>
      <c r="H71" s="31">
        <v>4</v>
      </c>
      <c r="I71" s="31">
        <v>8</v>
      </c>
      <c r="J71" s="31">
        <v>3</v>
      </c>
      <c r="K71" s="2">
        <f>SUM(First_Semester_English_I[[#This Row],[Assignment]:[Attendance]])</f>
        <v>15</v>
      </c>
      <c r="L71" s="27">
        <f>ROUND(First_Semester_English_I[[#This Row],[Total out of APA]],0)</f>
        <v>15</v>
      </c>
      <c r="M71" s="28">
        <v>20.5</v>
      </c>
      <c r="N71" s="28">
        <v>35</v>
      </c>
      <c r="O71" s="28">
        <f>SUM(First_Semester_English_I[[#This Row],[Midterm]:[Final]])</f>
        <v>55.5</v>
      </c>
      <c r="P71" s="42">
        <f>ROUND(First_Semester_English_I[[#This Row],[Mid &amp; Final]],0)</f>
        <v>56</v>
      </c>
      <c r="Q71" s="42">
        <f t="shared" si="7"/>
        <v>76</v>
      </c>
      <c r="R71" s="46" t="str">
        <f t="shared" si="8"/>
        <v>A</v>
      </c>
      <c r="S71" s="44" t="str">
        <f t="shared" si="9"/>
        <v>3.75</v>
      </c>
      <c r="T71" s="34" t="str">
        <f t="shared" si="10"/>
        <v>Excellent</v>
      </c>
      <c r="U71" s="21"/>
    </row>
    <row r="72" spans="1:22" x14ac:dyDescent="0.25">
      <c r="A72" s="1" t="s">
        <v>7</v>
      </c>
      <c r="B72" s="29" t="s">
        <v>33</v>
      </c>
      <c r="C72" s="28">
        <v>10.333333333333334</v>
      </c>
      <c r="D72" s="28">
        <v>13.333333333333334</v>
      </c>
      <c r="E72" s="28">
        <v>1</v>
      </c>
      <c r="F72" s="28">
        <f>(((SUM(First_Semester_English_I[[#This Row],[Quiz 1]:[Quiz 3]]))/SUM($C$63:$E$63))*$F$63)</f>
        <v>8.2222222222222232</v>
      </c>
      <c r="G72" s="27">
        <f>ROUND(First_Semester_English_I[[#This Row],[Quiz Average]],0)</f>
        <v>8</v>
      </c>
      <c r="H72" s="31">
        <v>4</v>
      </c>
      <c r="I72" s="31">
        <v>5</v>
      </c>
      <c r="J72" s="31">
        <v>2</v>
      </c>
      <c r="K72" s="2">
        <f>SUM(First_Semester_English_I[[#This Row],[Assignment]:[Attendance]])</f>
        <v>11</v>
      </c>
      <c r="L72" s="27">
        <f>ROUND(First_Semester_English_I[[#This Row],[Total out of APA]],0)</f>
        <v>11</v>
      </c>
      <c r="M72" s="28">
        <v>15</v>
      </c>
      <c r="N72" s="28">
        <v>8</v>
      </c>
      <c r="O72" s="28">
        <f>SUM(First_Semester_English_I[[#This Row],[Midterm]:[Final]])</f>
        <v>23</v>
      </c>
      <c r="P72" s="42">
        <f>ROUND(First_Semester_English_I[[#This Row],[Mid &amp; Final]],0)</f>
        <v>23</v>
      </c>
      <c r="Q72" s="42">
        <f t="shared" si="7"/>
        <v>42</v>
      </c>
      <c r="R72" s="46" t="str">
        <f t="shared" si="8"/>
        <v>D</v>
      </c>
      <c r="S72" s="44" t="str">
        <f t="shared" si="9"/>
        <v>2.00</v>
      </c>
      <c r="T72" s="34" t="str">
        <f t="shared" si="10"/>
        <v>Pass</v>
      </c>
      <c r="U72" s="21"/>
    </row>
    <row r="73" spans="1:22" x14ac:dyDescent="0.25">
      <c r="A73" s="1" t="s">
        <v>8</v>
      </c>
      <c r="B73" s="29" t="s">
        <v>34</v>
      </c>
      <c r="C73" s="28">
        <v>5</v>
      </c>
      <c r="D73" s="28">
        <v>11.666666666666666</v>
      </c>
      <c r="E73" s="28">
        <v>13.333333333333334</v>
      </c>
      <c r="F73" s="28">
        <f>(((SUM(First_Semester_English_I[[#This Row],[Quiz 1]:[Quiz 3]]))/SUM($C$63:$E$63))*$F$63)</f>
        <v>10</v>
      </c>
      <c r="G73" s="27">
        <f>ROUND(First_Semester_English_I[[#This Row],[Quiz Average]],0)</f>
        <v>10</v>
      </c>
      <c r="H73" s="31">
        <v>4</v>
      </c>
      <c r="I73" s="31">
        <v>6</v>
      </c>
      <c r="J73" s="31">
        <v>2</v>
      </c>
      <c r="K73" s="2">
        <f>SUM(First_Semester_English_I[[#This Row],[Assignment]:[Attendance]])</f>
        <v>12</v>
      </c>
      <c r="L73" s="27">
        <f>ROUND(First_Semester_English_I[[#This Row],[Total out of APA]],0)</f>
        <v>12</v>
      </c>
      <c r="M73" s="28">
        <v>6</v>
      </c>
      <c r="N73" s="28">
        <v>3.5</v>
      </c>
      <c r="O73" s="28">
        <f>SUM(First_Semester_English_I[[#This Row],[Midterm]:[Final]])</f>
        <v>9.5</v>
      </c>
      <c r="P73" s="42">
        <f>ROUND(First_Semester_English_I[[#This Row],[Mid &amp; Final]],0)</f>
        <v>10</v>
      </c>
      <c r="Q73" s="42">
        <f t="shared" si="7"/>
        <v>32</v>
      </c>
      <c r="R73" s="46" t="str">
        <f t="shared" si="8"/>
        <v>F</v>
      </c>
      <c r="S73" s="44" t="str">
        <f t="shared" si="9"/>
        <v>0.00</v>
      </c>
      <c r="T73" s="34" t="str">
        <f t="shared" si="10"/>
        <v>Fail</v>
      </c>
      <c r="U73" s="21"/>
    </row>
    <row r="74" spans="1:22" x14ac:dyDescent="0.25">
      <c r="A74" s="1" t="s">
        <v>9</v>
      </c>
      <c r="B74" s="29" t="s">
        <v>35</v>
      </c>
      <c r="C74" s="28">
        <v>5.666666666666667</v>
      </c>
      <c r="D74" s="28">
        <v>2</v>
      </c>
      <c r="E74" s="28">
        <v>6</v>
      </c>
      <c r="F74" s="28">
        <f>(((SUM(First_Semester_English_I[[#This Row],[Quiz 1]:[Quiz 3]]))/SUM($C$63:$E$63))*$F$63)</f>
        <v>4.5555555555555562</v>
      </c>
      <c r="G74" s="27">
        <f>ROUND(First_Semester_English_I[[#This Row],[Quiz Average]],0)</f>
        <v>5</v>
      </c>
      <c r="H74" s="31">
        <v>2</v>
      </c>
      <c r="I74" s="31">
        <v>7</v>
      </c>
      <c r="J74" s="31">
        <v>4</v>
      </c>
      <c r="K74" s="2">
        <f>SUM(First_Semester_English_I[[#This Row],[Assignment]:[Attendance]])</f>
        <v>13</v>
      </c>
      <c r="L74" s="27">
        <f>ROUND(First_Semester_English_I[[#This Row],[Total out of APA]],0)</f>
        <v>13</v>
      </c>
      <c r="M74" s="28">
        <v>14.5</v>
      </c>
      <c r="N74" s="28">
        <v>15.5</v>
      </c>
      <c r="O74" s="28">
        <f>SUM(First_Semester_English_I[[#This Row],[Midterm]:[Final]])</f>
        <v>30</v>
      </c>
      <c r="P74" s="42">
        <f>ROUND(First_Semester_English_I[[#This Row],[Mid &amp; Final]],0)</f>
        <v>30</v>
      </c>
      <c r="Q74" s="42">
        <f t="shared" si="7"/>
        <v>48</v>
      </c>
      <c r="R74" s="46" t="str">
        <f t="shared" si="8"/>
        <v>C</v>
      </c>
      <c r="S74" s="44" t="str">
        <f t="shared" si="9"/>
        <v>2.25</v>
      </c>
      <c r="T74" s="34" t="str">
        <f t="shared" si="10"/>
        <v>Bellow Average</v>
      </c>
      <c r="U74" s="21"/>
    </row>
    <row r="75" spans="1:22" x14ac:dyDescent="0.25">
      <c r="A75" s="1" t="s">
        <v>10</v>
      </c>
      <c r="B75" s="29" t="s">
        <v>36</v>
      </c>
      <c r="C75" s="28">
        <v>11.333333333333334</v>
      </c>
      <c r="D75" s="28">
        <v>3</v>
      </c>
      <c r="E75" s="28">
        <v>4.666666666666667</v>
      </c>
      <c r="F75" s="28">
        <f>(((SUM(First_Semester_English_I[[#This Row],[Quiz 1]:[Quiz 3]]))/SUM($C$63:$E$63))*$F$63)</f>
        <v>6.333333333333333</v>
      </c>
      <c r="G75" s="27">
        <f>ROUND(First_Semester_English_I[[#This Row],[Quiz Average]],0)</f>
        <v>6</v>
      </c>
      <c r="H75" s="31">
        <v>2</v>
      </c>
      <c r="I75" s="31">
        <v>4</v>
      </c>
      <c r="J75" s="31">
        <v>6</v>
      </c>
      <c r="K75" s="2">
        <f>SUM(First_Semester_English_I[[#This Row],[Assignment]:[Attendance]])</f>
        <v>12</v>
      </c>
      <c r="L75" s="27">
        <f>ROUND(First_Semester_English_I[[#This Row],[Total out of APA]],0)</f>
        <v>12</v>
      </c>
      <c r="M75" s="28">
        <v>6.5</v>
      </c>
      <c r="N75" s="28">
        <v>3</v>
      </c>
      <c r="O75" s="28">
        <f>SUM(First_Semester_English_I[[#This Row],[Midterm]:[Final]])</f>
        <v>9.5</v>
      </c>
      <c r="P75" s="42">
        <f>ROUND(First_Semester_English_I[[#This Row],[Mid &amp; Final]],0)</f>
        <v>10</v>
      </c>
      <c r="Q75" s="42">
        <f t="shared" si="7"/>
        <v>28</v>
      </c>
      <c r="R75" s="46" t="str">
        <f t="shared" si="8"/>
        <v>F</v>
      </c>
      <c r="S75" s="44" t="str">
        <f t="shared" si="9"/>
        <v>0.00</v>
      </c>
      <c r="T75" s="34" t="str">
        <f t="shared" si="10"/>
        <v>Fail</v>
      </c>
      <c r="U75" s="21"/>
    </row>
    <row r="76" spans="1:22" x14ac:dyDescent="0.25">
      <c r="A76" s="210" t="s">
        <v>11</v>
      </c>
      <c r="B76" s="211" t="s">
        <v>31</v>
      </c>
      <c r="C76" s="209"/>
      <c r="D76" s="209"/>
      <c r="E76" s="209"/>
      <c r="F76" s="209"/>
      <c r="G76" s="212"/>
      <c r="H76" s="213"/>
      <c r="I76" s="213"/>
      <c r="J76" s="213"/>
      <c r="K76" s="208"/>
      <c r="L76" s="212"/>
      <c r="M76" s="209"/>
      <c r="N76" s="209"/>
      <c r="O76" s="209"/>
      <c r="P76" s="214"/>
      <c r="Q76" s="214"/>
      <c r="R76" s="215"/>
      <c r="S76" s="216"/>
      <c r="T76" s="217"/>
      <c r="U76" s="21"/>
    </row>
    <row r="77" spans="1:22" x14ac:dyDescent="0.25">
      <c r="A77" s="1" t="s">
        <v>12</v>
      </c>
      <c r="B77" s="29" t="s">
        <v>37</v>
      </c>
      <c r="C77" s="28">
        <v>10.333333333333334</v>
      </c>
      <c r="D77" s="28">
        <v>12.666666666666666</v>
      </c>
      <c r="E77" s="28">
        <v>1.3333333333333333</v>
      </c>
      <c r="F77" s="28">
        <f>(((SUM(First_Semester_English_I[[#This Row],[Quiz 1]:[Quiz 3]]))/SUM($C$63:$E$63))*$F$63)</f>
        <v>8.1111111111111107</v>
      </c>
      <c r="G77" s="27">
        <f>ROUND(First_Semester_English_I[[#This Row],[Quiz Average]],0)</f>
        <v>8</v>
      </c>
      <c r="H77" s="31">
        <v>4</v>
      </c>
      <c r="I77" s="31">
        <v>7</v>
      </c>
      <c r="J77" s="31">
        <v>4</v>
      </c>
      <c r="K77" s="2">
        <f>SUM(First_Semester_English_I[[#This Row],[Assignment]:[Attendance]])</f>
        <v>15</v>
      </c>
      <c r="L77" s="27">
        <f>ROUND(First_Semester_English_I[[#This Row],[Total out of APA]],0)</f>
        <v>15</v>
      </c>
      <c r="M77" s="28">
        <v>7</v>
      </c>
      <c r="N77" s="28">
        <v>38.5</v>
      </c>
      <c r="O77" s="28">
        <f>SUM(First_Semester_English_I[[#This Row],[Midterm]:[Final]])</f>
        <v>45.5</v>
      </c>
      <c r="P77" s="42">
        <f>ROUND(First_Semester_English_I[[#This Row],[Mid &amp; Final]],0)</f>
        <v>46</v>
      </c>
      <c r="Q77" s="42">
        <f t="shared" si="7"/>
        <v>69</v>
      </c>
      <c r="R77" s="46" t="str">
        <f t="shared" si="8"/>
        <v>B+</v>
      </c>
      <c r="S77" s="44" t="str">
        <f t="shared" si="9"/>
        <v>3.25</v>
      </c>
      <c r="T77" s="34" t="str">
        <f t="shared" si="10"/>
        <v>Good</v>
      </c>
      <c r="U77" s="21"/>
    </row>
    <row r="78" spans="1:22" x14ac:dyDescent="0.25">
      <c r="A78" s="1" t="s">
        <v>13</v>
      </c>
      <c r="B78" s="29" t="s">
        <v>38</v>
      </c>
      <c r="C78" s="28">
        <v>12.666666666666666</v>
      </c>
      <c r="D78" s="28">
        <v>7.333333333333333</v>
      </c>
      <c r="E78" s="28">
        <v>13</v>
      </c>
      <c r="F78" s="28">
        <f>(((SUM(First_Semester_English_I[[#This Row],[Quiz 1]:[Quiz 3]]))/SUM($C$63:$E$63))*$F$63)</f>
        <v>11</v>
      </c>
      <c r="G78" s="27">
        <f>ROUND(First_Semester_English_I[[#This Row],[Quiz Average]],0)</f>
        <v>11</v>
      </c>
      <c r="H78" s="31">
        <v>2</v>
      </c>
      <c r="I78" s="31">
        <v>7</v>
      </c>
      <c r="J78" s="31">
        <v>2</v>
      </c>
      <c r="K78" s="2">
        <f>SUM(First_Semester_English_I[[#This Row],[Assignment]:[Attendance]])</f>
        <v>11</v>
      </c>
      <c r="L78" s="27">
        <f>ROUND(First_Semester_English_I[[#This Row],[Total out of APA]],0)</f>
        <v>11</v>
      </c>
      <c r="M78" s="28">
        <v>17.5</v>
      </c>
      <c r="N78" s="28">
        <v>29.5</v>
      </c>
      <c r="O78" s="28">
        <f>SUM(First_Semester_English_I[[#This Row],[Midterm]:[Final]])</f>
        <v>47</v>
      </c>
      <c r="P78" s="42">
        <f>ROUND(First_Semester_English_I[[#This Row],[Mid &amp; Final]],0)</f>
        <v>47</v>
      </c>
      <c r="Q78" s="42">
        <f t="shared" si="7"/>
        <v>69</v>
      </c>
      <c r="R78" s="46" t="str">
        <f t="shared" si="8"/>
        <v>B+</v>
      </c>
      <c r="S78" s="44" t="str">
        <f t="shared" si="9"/>
        <v>3.25</v>
      </c>
      <c r="T78" s="34" t="str">
        <f t="shared" si="10"/>
        <v>Good</v>
      </c>
      <c r="U78" s="21"/>
      <c r="V78" s="110"/>
    </row>
    <row r="79" spans="1:22" x14ac:dyDescent="0.25">
      <c r="A79" s="1" t="s">
        <v>14</v>
      </c>
      <c r="B79" s="29" t="s">
        <v>39</v>
      </c>
      <c r="C79" s="28">
        <v>12</v>
      </c>
      <c r="D79" s="28">
        <v>6.333333333333333</v>
      </c>
      <c r="E79" s="28">
        <v>13</v>
      </c>
      <c r="F79" s="28">
        <f>(((SUM(First_Semester_English_I[[#This Row],[Quiz 1]:[Quiz 3]]))/SUM($C$63:$E$63))*$F$63)</f>
        <v>10.444444444444445</v>
      </c>
      <c r="G79" s="27">
        <f>ROUND(First_Semester_English_I[[#This Row],[Quiz Average]],0)</f>
        <v>10</v>
      </c>
      <c r="H79" s="31">
        <v>3</v>
      </c>
      <c r="I79" s="31">
        <v>2</v>
      </c>
      <c r="J79" s="31">
        <v>6</v>
      </c>
      <c r="K79" s="2">
        <f>SUM(First_Semester_English_I[[#This Row],[Assignment]:[Attendance]])</f>
        <v>11</v>
      </c>
      <c r="L79" s="27">
        <f>ROUND(First_Semester_English_I[[#This Row],[Total out of APA]],0)</f>
        <v>11</v>
      </c>
      <c r="M79" s="28">
        <v>9</v>
      </c>
      <c r="N79" s="28">
        <v>36</v>
      </c>
      <c r="O79" s="28">
        <f>SUM(First_Semester_English_I[[#This Row],[Midterm]:[Final]])</f>
        <v>45</v>
      </c>
      <c r="P79" s="42">
        <f>ROUND(First_Semester_English_I[[#This Row],[Mid &amp; Final]],0)</f>
        <v>45</v>
      </c>
      <c r="Q79" s="42">
        <f t="shared" si="7"/>
        <v>66</v>
      </c>
      <c r="R79" s="46" t="str">
        <f t="shared" si="8"/>
        <v>B+</v>
      </c>
      <c r="S79" s="44" t="str">
        <f t="shared" si="9"/>
        <v>3.25</v>
      </c>
      <c r="T79" s="34" t="str">
        <f t="shared" si="10"/>
        <v>Good</v>
      </c>
      <c r="U79" s="21"/>
    </row>
    <row r="80" spans="1:22" x14ac:dyDescent="0.25">
      <c r="A80" s="1" t="s">
        <v>15</v>
      </c>
      <c r="B80" s="29" t="s">
        <v>40</v>
      </c>
      <c r="C80" s="28">
        <v>10.333333333333334</v>
      </c>
      <c r="D80" s="28">
        <v>6</v>
      </c>
      <c r="E80" s="28">
        <v>12.333333333333334</v>
      </c>
      <c r="F80" s="28">
        <f>(((SUM(First_Semester_English_I[[#This Row],[Quiz 1]:[Quiz 3]]))/SUM($C$63:$E$63))*$F$63)</f>
        <v>9.5555555555555571</v>
      </c>
      <c r="G80" s="27">
        <f>ROUND(First_Semester_English_I[[#This Row],[Quiz Average]],0)</f>
        <v>10</v>
      </c>
      <c r="H80" s="31">
        <v>2</v>
      </c>
      <c r="I80" s="31">
        <v>5</v>
      </c>
      <c r="J80" s="31">
        <v>3</v>
      </c>
      <c r="K80" s="2">
        <f>SUM(First_Semester_English_I[[#This Row],[Assignment]:[Attendance]])</f>
        <v>10</v>
      </c>
      <c r="L80" s="27">
        <f>ROUND(First_Semester_English_I[[#This Row],[Total out of APA]],0)</f>
        <v>10</v>
      </c>
      <c r="M80" s="28">
        <v>4</v>
      </c>
      <c r="N80" s="28">
        <v>2</v>
      </c>
      <c r="O80" s="28">
        <f>SUM(First_Semester_English_I[[#This Row],[Midterm]:[Final]])</f>
        <v>6</v>
      </c>
      <c r="P80" s="42">
        <f>ROUND(First_Semester_English_I[[#This Row],[Mid &amp; Final]],0)</f>
        <v>6</v>
      </c>
      <c r="Q80" s="42">
        <f t="shared" si="7"/>
        <v>26</v>
      </c>
      <c r="R80" s="46" t="str">
        <f t="shared" si="8"/>
        <v>F</v>
      </c>
      <c r="S80" s="44" t="str">
        <f t="shared" si="9"/>
        <v>0.00</v>
      </c>
      <c r="T80" s="34" t="str">
        <f t="shared" si="10"/>
        <v>Fail</v>
      </c>
      <c r="U80" s="21"/>
    </row>
    <row r="81" spans="1:21" x14ac:dyDescent="0.25">
      <c r="A81" s="210" t="s">
        <v>16</v>
      </c>
      <c r="B81" s="211" t="s">
        <v>31</v>
      </c>
      <c r="C81" s="209"/>
      <c r="D81" s="209"/>
      <c r="E81" s="209"/>
      <c r="F81" s="209"/>
      <c r="G81" s="212"/>
      <c r="H81" s="213"/>
      <c r="I81" s="213"/>
      <c r="J81" s="213"/>
      <c r="K81" s="208"/>
      <c r="L81" s="212"/>
      <c r="M81" s="209"/>
      <c r="N81" s="209"/>
      <c r="O81" s="209"/>
      <c r="P81" s="214"/>
      <c r="Q81" s="214"/>
      <c r="R81" s="215"/>
      <c r="S81" s="216"/>
      <c r="T81" s="217"/>
      <c r="U81" s="21"/>
    </row>
    <row r="82" spans="1:21" x14ac:dyDescent="0.25">
      <c r="A82" s="1" t="s">
        <v>17</v>
      </c>
      <c r="B82" s="29" t="s">
        <v>41</v>
      </c>
      <c r="C82" s="28">
        <v>14.666666666666666</v>
      </c>
      <c r="D82" s="28">
        <v>9.3333333333333339</v>
      </c>
      <c r="E82" s="28">
        <v>6.333333333333333</v>
      </c>
      <c r="F82" s="28">
        <f>(((SUM(First_Semester_English_I[[#This Row],[Quiz 1]:[Quiz 3]]))/SUM($C$63:$E$63))*$F$63)</f>
        <v>10.111111111111111</v>
      </c>
      <c r="G82" s="27">
        <f>ROUND(First_Semester_English_I[[#This Row],[Quiz Average]],0)</f>
        <v>10</v>
      </c>
      <c r="H82" s="31">
        <v>5</v>
      </c>
      <c r="I82" s="31">
        <v>5</v>
      </c>
      <c r="J82" s="31">
        <v>3</v>
      </c>
      <c r="K82" s="2">
        <f>SUM(First_Semester_English_I[[#This Row],[Assignment]:[Attendance]])</f>
        <v>13</v>
      </c>
      <c r="L82" s="27">
        <f>ROUND(First_Semester_English_I[[#This Row],[Total out of APA]],0)</f>
        <v>13</v>
      </c>
      <c r="M82" s="28">
        <v>6.5</v>
      </c>
      <c r="N82" s="28">
        <v>24.5</v>
      </c>
      <c r="O82" s="28">
        <f>SUM(First_Semester_English_I[[#This Row],[Midterm]:[Final]])</f>
        <v>31</v>
      </c>
      <c r="P82" s="42">
        <f>ROUND(First_Semester_English_I[[#This Row],[Mid &amp; Final]],0)</f>
        <v>31</v>
      </c>
      <c r="Q82" s="42">
        <f t="shared" si="7"/>
        <v>54</v>
      </c>
      <c r="R82" s="46" t="str">
        <f t="shared" si="8"/>
        <v>C+</v>
      </c>
      <c r="S82" s="44" t="str">
        <f t="shared" si="9"/>
        <v>2.50</v>
      </c>
      <c r="T82" s="34" t="str">
        <f t="shared" si="10"/>
        <v>Average</v>
      </c>
    </row>
    <row r="83" spans="1:21" x14ac:dyDescent="0.25">
      <c r="A83" s="1" t="s">
        <v>18</v>
      </c>
      <c r="B83" s="29" t="s">
        <v>42</v>
      </c>
      <c r="C83" s="28">
        <v>5.333333333333333</v>
      </c>
      <c r="D83" s="28">
        <v>12.333333333333334</v>
      </c>
      <c r="E83" s="28">
        <v>13</v>
      </c>
      <c r="F83" s="28">
        <f>(((SUM(First_Semester_English_I[[#This Row],[Quiz 1]:[Quiz 3]]))/SUM($C$63:$E$63))*$F$63)</f>
        <v>10.222222222222221</v>
      </c>
      <c r="G83" s="27">
        <f>ROUND(First_Semester_English_I[[#This Row],[Quiz Average]],0)</f>
        <v>10</v>
      </c>
      <c r="H83" s="31">
        <v>5</v>
      </c>
      <c r="I83" s="31">
        <v>7</v>
      </c>
      <c r="J83" s="31">
        <v>4</v>
      </c>
      <c r="K83" s="2">
        <f>SUM(First_Semester_English_I[[#This Row],[Assignment]:[Attendance]])</f>
        <v>16</v>
      </c>
      <c r="L83" s="27">
        <f>ROUND(First_Semester_English_I[[#This Row],[Total out of APA]],0)</f>
        <v>16</v>
      </c>
      <c r="M83" s="28">
        <v>1.5</v>
      </c>
      <c r="N83" s="28">
        <v>12</v>
      </c>
      <c r="O83" s="28">
        <f>SUM(First_Semester_English_I[[#This Row],[Midterm]:[Final]])</f>
        <v>13.5</v>
      </c>
      <c r="P83" s="42">
        <f>ROUND(First_Semester_English_I[[#This Row],[Mid &amp; Final]],0)</f>
        <v>14</v>
      </c>
      <c r="Q83" s="42">
        <f t="shared" si="7"/>
        <v>40</v>
      </c>
      <c r="R83" s="46" t="str">
        <f t="shared" si="8"/>
        <v>D</v>
      </c>
      <c r="S83" s="44" t="str">
        <f t="shared" si="9"/>
        <v>2.00</v>
      </c>
      <c r="T83" s="34" t="str">
        <f t="shared" si="10"/>
        <v>Pass</v>
      </c>
    </row>
    <row r="84" spans="1:21" x14ac:dyDescent="0.25">
      <c r="A84" s="1" t="s">
        <v>19</v>
      </c>
      <c r="B84" s="29" t="s">
        <v>43</v>
      </c>
      <c r="C84" s="28">
        <v>13.333333333333334</v>
      </c>
      <c r="D84" s="28">
        <v>3.6666666666666665</v>
      </c>
      <c r="E84" s="28">
        <v>4</v>
      </c>
      <c r="F84" s="28">
        <f>(((SUM(First_Semester_English_I[[#This Row],[Quiz 1]:[Quiz 3]]))/SUM($C$63:$E$63))*$F$63)</f>
        <v>7</v>
      </c>
      <c r="G84" s="27">
        <f>ROUND(First_Semester_English_I[[#This Row],[Quiz Average]],0)</f>
        <v>7</v>
      </c>
      <c r="H84" s="31">
        <v>5</v>
      </c>
      <c r="I84" s="31">
        <v>6</v>
      </c>
      <c r="J84" s="31">
        <v>6</v>
      </c>
      <c r="K84" s="2">
        <f>SUM(First_Semester_English_I[[#This Row],[Assignment]:[Attendance]])</f>
        <v>17</v>
      </c>
      <c r="L84" s="27">
        <f>ROUND(First_Semester_English_I[[#This Row],[Total out of APA]],0)</f>
        <v>17</v>
      </c>
      <c r="M84" s="28">
        <v>6</v>
      </c>
      <c r="N84" s="28">
        <v>27.5</v>
      </c>
      <c r="O84" s="28">
        <f>SUM(First_Semester_English_I[[#This Row],[Midterm]:[Final]])</f>
        <v>33.5</v>
      </c>
      <c r="P84" s="42">
        <f>ROUND(First_Semester_English_I[[#This Row],[Mid &amp; Final]],0)</f>
        <v>34</v>
      </c>
      <c r="Q84" s="42">
        <f t="shared" si="7"/>
        <v>58</v>
      </c>
      <c r="R84" s="46" t="str">
        <f t="shared" si="8"/>
        <v>B-</v>
      </c>
      <c r="S84" s="44" t="str">
        <f t="shared" si="9"/>
        <v>2.75</v>
      </c>
      <c r="T84" s="34" t="str">
        <f t="shared" si="10"/>
        <v>Above Average</v>
      </c>
    </row>
    <row r="85" spans="1:21" x14ac:dyDescent="0.25">
      <c r="A85" s="1" t="s">
        <v>23</v>
      </c>
      <c r="B85" s="29" t="s">
        <v>44</v>
      </c>
      <c r="C85" s="28">
        <v>3.3333333333333335</v>
      </c>
      <c r="D85" s="28">
        <v>13.666666666666666</v>
      </c>
      <c r="E85" s="28">
        <v>7.666666666666667</v>
      </c>
      <c r="F85" s="28">
        <f>(((SUM(First_Semester_English_I[[#This Row],[Quiz 1]:[Quiz 3]]))/SUM($C$63:$E$63))*$F$63)</f>
        <v>8.2222222222222232</v>
      </c>
      <c r="G85" s="27">
        <f>ROUND(First_Semester_English_I[[#This Row],[Quiz Average]],0)</f>
        <v>8</v>
      </c>
      <c r="H85" s="31">
        <v>3</v>
      </c>
      <c r="I85" s="31">
        <v>2</v>
      </c>
      <c r="J85" s="31">
        <v>2</v>
      </c>
      <c r="K85" s="2">
        <f>SUM(First_Semester_English_I[[#This Row],[Assignment]:[Attendance]])</f>
        <v>7</v>
      </c>
      <c r="L85" s="27">
        <f>ROUND(First_Semester_English_I[[#This Row],[Total out of APA]],0)</f>
        <v>7</v>
      </c>
      <c r="M85" s="28">
        <v>21.5</v>
      </c>
      <c r="N85" s="28">
        <v>7</v>
      </c>
      <c r="O85" s="28">
        <f>SUM(First_Semester_English_I[[#This Row],[Midterm]:[Final]])</f>
        <v>28.5</v>
      </c>
      <c r="P85" s="42">
        <f>ROUND(First_Semester_English_I[[#This Row],[Mid &amp; Final]],0)</f>
        <v>29</v>
      </c>
      <c r="Q85" s="42">
        <f t="shared" si="7"/>
        <v>44</v>
      </c>
      <c r="R85" s="46" t="str">
        <f t="shared" si="8"/>
        <v>D</v>
      </c>
      <c r="S85" s="44" t="str">
        <f t="shared" si="9"/>
        <v>2.00</v>
      </c>
      <c r="T85" s="34" t="str">
        <f t="shared" si="10"/>
        <v>Pass</v>
      </c>
    </row>
    <row r="86" spans="1:21" x14ac:dyDescent="0.25">
      <c r="A86" s="1" t="s">
        <v>24</v>
      </c>
      <c r="B86" s="29" t="s">
        <v>45</v>
      </c>
      <c r="C86" s="28">
        <v>12.333333333333334</v>
      </c>
      <c r="D86" s="28">
        <v>11.333333333333334</v>
      </c>
      <c r="E86" s="28">
        <v>13</v>
      </c>
      <c r="F86" s="28">
        <f>(((SUM(First_Semester_English_I[[#This Row],[Quiz 1]:[Quiz 3]]))/SUM($C$63:$E$63))*$F$63)</f>
        <v>12.222222222222223</v>
      </c>
      <c r="G86" s="27">
        <f>ROUND(First_Semester_English_I[[#This Row],[Quiz Average]],0)</f>
        <v>12</v>
      </c>
      <c r="H86" s="31">
        <v>3</v>
      </c>
      <c r="I86" s="31">
        <v>3</v>
      </c>
      <c r="J86" s="31">
        <v>2</v>
      </c>
      <c r="K86" s="2">
        <f>SUM(First_Semester_English_I[[#This Row],[Assignment]:[Attendance]])</f>
        <v>8</v>
      </c>
      <c r="L86" s="27">
        <f>ROUND(First_Semester_English_I[[#This Row],[Total out of APA]],0)</f>
        <v>8</v>
      </c>
      <c r="M86" s="28">
        <v>21.5</v>
      </c>
      <c r="N86" s="28">
        <v>2.5</v>
      </c>
      <c r="O86" s="28">
        <f>SUM(First_Semester_English_I[[#This Row],[Midterm]:[Final]])</f>
        <v>24</v>
      </c>
      <c r="P86" s="42">
        <f>ROUND(First_Semester_English_I[[#This Row],[Mid &amp; Final]],0)</f>
        <v>24</v>
      </c>
      <c r="Q86" s="42">
        <f t="shared" si="7"/>
        <v>44</v>
      </c>
      <c r="R86" s="46" t="str">
        <f t="shared" si="8"/>
        <v>D</v>
      </c>
      <c r="S86" s="44" t="str">
        <f t="shared" si="9"/>
        <v>2.00</v>
      </c>
      <c r="T86" s="34" t="str">
        <f t="shared" si="10"/>
        <v>Pass</v>
      </c>
    </row>
    <row r="87" spans="1:21" x14ac:dyDescent="0.25">
      <c r="A87" s="1" t="s">
        <v>25</v>
      </c>
      <c r="B87" s="29" t="s">
        <v>46</v>
      </c>
      <c r="C87" s="28">
        <v>11.333333333333334</v>
      </c>
      <c r="D87" s="28">
        <v>1</v>
      </c>
      <c r="E87" s="28">
        <v>8</v>
      </c>
      <c r="F87" s="28">
        <f>(((SUM(First_Semester_English_I[[#This Row],[Quiz 1]:[Quiz 3]]))/SUM($C$63:$E$63))*$F$63)</f>
        <v>6.7777777777777786</v>
      </c>
      <c r="G87" s="27">
        <f>ROUND(First_Semester_English_I[[#This Row],[Quiz Average]],0)</f>
        <v>7</v>
      </c>
      <c r="H87" s="31">
        <v>2</v>
      </c>
      <c r="I87" s="31">
        <v>4</v>
      </c>
      <c r="J87" s="31">
        <v>7</v>
      </c>
      <c r="K87" s="2">
        <f>SUM(First_Semester_English_I[[#This Row],[Assignment]:[Attendance]])</f>
        <v>13</v>
      </c>
      <c r="L87" s="27">
        <f>ROUND(First_Semester_English_I[[#This Row],[Total out of APA]],0)</f>
        <v>13</v>
      </c>
      <c r="M87" s="28">
        <v>18</v>
      </c>
      <c r="N87" s="28">
        <v>21.5</v>
      </c>
      <c r="O87" s="28">
        <f>SUM(First_Semester_English_I[[#This Row],[Midterm]:[Final]])</f>
        <v>39.5</v>
      </c>
      <c r="P87" s="42">
        <f>ROUND(First_Semester_English_I[[#This Row],[Mid &amp; Final]],0)</f>
        <v>40</v>
      </c>
      <c r="Q87" s="42">
        <f t="shared" si="7"/>
        <v>60</v>
      </c>
      <c r="R87" s="46" t="str">
        <f t="shared" si="8"/>
        <v>B</v>
      </c>
      <c r="S87" s="44" t="str">
        <f t="shared" si="9"/>
        <v>3.00</v>
      </c>
      <c r="T87" s="34" t="str">
        <f t="shared" si="10"/>
        <v>Satisfactory</v>
      </c>
    </row>
    <row r="88" spans="1:21" x14ac:dyDescent="0.25">
      <c r="A88" s="1" t="s">
        <v>26</v>
      </c>
      <c r="B88" s="29" t="s">
        <v>47</v>
      </c>
      <c r="C88" s="28">
        <v>15</v>
      </c>
      <c r="D88" s="28">
        <v>9</v>
      </c>
      <c r="E88" s="28">
        <v>8.6666666666666661</v>
      </c>
      <c r="F88" s="28">
        <f>(((SUM(First_Semester_English_I[[#This Row],[Quiz 1]:[Quiz 3]]))/SUM($C$63:$E$63))*$F$63)</f>
        <v>10.888888888888888</v>
      </c>
      <c r="G88" s="27">
        <f>ROUND(First_Semester_English_I[[#This Row],[Quiz Average]],0)</f>
        <v>11</v>
      </c>
      <c r="H88" s="31">
        <v>3</v>
      </c>
      <c r="I88" s="31">
        <v>3</v>
      </c>
      <c r="J88" s="31">
        <v>2</v>
      </c>
      <c r="K88" s="2">
        <f>SUM(First_Semester_English_I[[#This Row],[Assignment]:[Attendance]])</f>
        <v>8</v>
      </c>
      <c r="L88" s="27">
        <f>ROUND(First_Semester_English_I[[#This Row],[Total out of APA]],0)</f>
        <v>8</v>
      </c>
      <c r="M88" s="28">
        <v>24.5</v>
      </c>
      <c r="N88" s="28">
        <v>37</v>
      </c>
      <c r="O88" s="28">
        <f>SUM(First_Semester_English_I[[#This Row],[Midterm]:[Final]])</f>
        <v>61.5</v>
      </c>
      <c r="P88" s="42">
        <f>ROUND(First_Semester_English_I[[#This Row],[Mid &amp; Final]],0)</f>
        <v>62</v>
      </c>
      <c r="Q88" s="42">
        <f t="shared" si="7"/>
        <v>81</v>
      </c>
      <c r="R88" s="46" t="str">
        <f t="shared" si="8"/>
        <v>A+</v>
      </c>
      <c r="S88" s="44" t="str">
        <f t="shared" si="9"/>
        <v>4.00</v>
      </c>
      <c r="T88" s="34" t="str">
        <f t="shared" si="10"/>
        <v>Outstanding</v>
      </c>
    </row>
    <row r="89" spans="1:21" x14ac:dyDescent="0.25">
      <c r="A89" s="1" t="s">
        <v>50</v>
      </c>
      <c r="B89" s="29" t="s">
        <v>51</v>
      </c>
      <c r="C89" s="28">
        <v>3</v>
      </c>
      <c r="D89" s="28">
        <v>9</v>
      </c>
      <c r="E89" s="28">
        <v>8.6666666666666661</v>
      </c>
      <c r="F89" s="28">
        <f>(((SUM(First_Semester_English_I[[#This Row],[Quiz 1]:[Quiz 3]]))/SUM($C$63:$E$63))*$F$63)</f>
        <v>6.8888888888888884</v>
      </c>
      <c r="G89" s="27">
        <f>ROUND(First_Semester_English_I[[#This Row],[Quiz Average]],0)</f>
        <v>7</v>
      </c>
      <c r="H89" s="31">
        <v>2</v>
      </c>
      <c r="I89" s="31">
        <v>3</v>
      </c>
      <c r="J89" s="31">
        <v>5</v>
      </c>
      <c r="K89" s="2">
        <f>SUM(First_Semester_English_I[[#This Row],[Assignment]:[Attendance]])</f>
        <v>10</v>
      </c>
      <c r="L89" s="27">
        <f>ROUND(First_Semester_English_I[[#This Row],[Total out of APA]],0)</f>
        <v>10</v>
      </c>
      <c r="M89" s="28">
        <v>6.5</v>
      </c>
      <c r="N89" s="28">
        <v>26.5</v>
      </c>
      <c r="O89" s="28">
        <f>SUM(First_Semester_English_I[[#This Row],[Midterm]:[Final]])</f>
        <v>33</v>
      </c>
      <c r="P89" s="42">
        <f>ROUND(First_Semester_English_I[[#This Row],[Mid &amp; Final]],0)</f>
        <v>33</v>
      </c>
      <c r="Q89" s="42">
        <f t="shared" si="7"/>
        <v>50</v>
      </c>
      <c r="R89" s="46" t="str">
        <f t="shared" si="8"/>
        <v>C+</v>
      </c>
      <c r="S89" s="44" t="str">
        <f t="shared" si="9"/>
        <v>2.50</v>
      </c>
      <c r="T89" s="34" t="str">
        <f t="shared" si="10"/>
        <v>Average</v>
      </c>
    </row>
    <row r="90" spans="1:21" x14ac:dyDescent="0.25">
      <c r="A90" s="1" t="s">
        <v>53</v>
      </c>
      <c r="B90" s="29" t="s">
        <v>54</v>
      </c>
      <c r="C90" s="28">
        <v>14.333333333333334</v>
      </c>
      <c r="D90" s="28">
        <v>9.6666666666666661</v>
      </c>
      <c r="E90" s="28">
        <v>1.6666666666666667</v>
      </c>
      <c r="F90" s="28">
        <f>(((SUM(First_Semester_English_I[[#This Row],[Quiz 1]:[Quiz 3]]))/SUM($C$63:$E$63))*$F$63)</f>
        <v>8.5555555555555571</v>
      </c>
      <c r="G90" s="27">
        <f>ROUND(First_Semester_English_I[[#This Row],[Quiz Average]],0)</f>
        <v>9</v>
      </c>
      <c r="H90" s="31">
        <v>3</v>
      </c>
      <c r="I90" s="31">
        <v>6</v>
      </c>
      <c r="J90" s="31">
        <v>2</v>
      </c>
      <c r="K90" s="2">
        <f>SUM(First_Semester_English_I[[#This Row],[Assignment]:[Attendance]])</f>
        <v>11</v>
      </c>
      <c r="L90" s="27">
        <f>ROUND(First_Semester_English_I[[#This Row],[Total out of APA]],0)</f>
        <v>11</v>
      </c>
      <c r="M90" s="28">
        <v>5.5</v>
      </c>
      <c r="N90" s="28">
        <v>30.5</v>
      </c>
      <c r="O90" s="28">
        <f>SUM(First_Semester_English_I[[#This Row],[Midterm]:[Final]])</f>
        <v>36</v>
      </c>
      <c r="P90" s="42">
        <f>ROUND(First_Semester_English_I[[#This Row],[Mid &amp; Final]],0)</f>
        <v>36</v>
      </c>
      <c r="Q90" s="42">
        <f t="shared" si="7"/>
        <v>56</v>
      </c>
      <c r="R90" s="46" t="str">
        <f t="shared" si="8"/>
        <v>B-</v>
      </c>
      <c r="S90" s="44" t="str">
        <f t="shared" si="9"/>
        <v>2.75</v>
      </c>
      <c r="T90" s="34" t="str">
        <f t="shared" si="10"/>
        <v>Above Average</v>
      </c>
    </row>
    <row r="91" spans="1:21" ht="15.75" thickBot="1" x14ac:dyDescent="0.3">
      <c r="A91" s="35" t="s">
        <v>60</v>
      </c>
      <c r="B91" s="36" t="s">
        <v>61</v>
      </c>
      <c r="C91" s="37">
        <v>8.6666666666666661</v>
      </c>
      <c r="D91" s="37">
        <v>6.333333333333333</v>
      </c>
      <c r="E91" s="37">
        <v>3.6666666666666665</v>
      </c>
      <c r="F91" s="37">
        <f>(((SUM(First_Semester_English_I[[#This Row],[Quiz 1]:[Quiz 3]]))/SUM($C$63:$E$63))*$F$63)</f>
        <v>6.2222222222222232</v>
      </c>
      <c r="G91" s="38">
        <f>ROUND(First_Semester_English_I[[#This Row],[Quiz Average]],0)</f>
        <v>6</v>
      </c>
      <c r="H91" s="39">
        <v>3</v>
      </c>
      <c r="I91" s="39">
        <v>7</v>
      </c>
      <c r="J91" s="39">
        <v>3</v>
      </c>
      <c r="K91" s="40">
        <f>SUM(First_Semester_English_I[[#This Row],[Assignment]:[Attendance]])</f>
        <v>13</v>
      </c>
      <c r="L91" s="38">
        <f>ROUND(First_Semester_English_I[[#This Row],[Total out of APA]],0)</f>
        <v>13</v>
      </c>
      <c r="M91" s="37">
        <v>16.5</v>
      </c>
      <c r="N91" s="37">
        <v>6</v>
      </c>
      <c r="O91" s="37">
        <f>SUM(First_Semester_English_I[[#This Row],[Midterm]:[Final]])</f>
        <v>22.5</v>
      </c>
      <c r="P91" s="43">
        <f>ROUND(First_Semester_English_I[[#This Row],[Mid &amp; Final]],0)</f>
        <v>23</v>
      </c>
      <c r="Q91" s="59">
        <f t="shared" si="7"/>
        <v>42</v>
      </c>
      <c r="R91" s="47" t="str">
        <f t="shared" si="8"/>
        <v>D</v>
      </c>
      <c r="S91" s="45" t="str">
        <f t="shared" si="9"/>
        <v>2.00</v>
      </c>
      <c r="T91" s="41" t="str">
        <f t="shared" si="10"/>
        <v>Pass</v>
      </c>
    </row>
    <row r="92" spans="1:21" x14ac:dyDescent="0.25">
      <c r="A92" s="68"/>
      <c r="B92" s="68"/>
      <c r="C92" s="30"/>
      <c r="D92" s="30"/>
      <c r="E92" s="30"/>
      <c r="F92" s="30"/>
      <c r="G92" s="69"/>
      <c r="H92" s="71"/>
      <c r="I92" s="71"/>
      <c r="J92" s="71"/>
      <c r="K92" s="69"/>
      <c r="L92" s="69"/>
      <c r="M92" s="30"/>
      <c r="N92" s="30"/>
      <c r="O92" s="30"/>
      <c r="P92" s="70"/>
      <c r="Q92" s="70"/>
      <c r="R92" s="30"/>
      <c r="S92" s="30"/>
      <c r="T92" s="30"/>
    </row>
    <row r="93" spans="1:21" x14ac:dyDescent="0.25">
      <c r="A93" s="68"/>
      <c r="B93" s="68"/>
      <c r="C93" s="30"/>
      <c r="D93" s="30"/>
      <c r="E93" s="30"/>
      <c r="F93" s="30"/>
      <c r="G93" s="69"/>
      <c r="H93" s="71"/>
      <c r="I93" s="71"/>
      <c r="J93" s="71"/>
      <c r="K93" s="69"/>
      <c r="L93" s="69"/>
      <c r="M93" s="30"/>
      <c r="N93" s="30"/>
      <c r="O93" s="30"/>
      <c r="P93" s="70"/>
      <c r="Q93" s="70"/>
      <c r="R93" s="30"/>
      <c r="S93" s="30"/>
      <c r="T93" s="30"/>
    </row>
    <row r="94" spans="1:21" x14ac:dyDescent="0.25">
      <c r="A94" s="68"/>
      <c r="B94" s="68"/>
      <c r="C94" s="30"/>
      <c r="D94" s="30"/>
      <c r="E94" s="30"/>
      <c r="F94" s="30"/>
      <c r="G94" s="69"/>
      <c r="H94" s="71"/>
      <c r="I94" s="71"/>
      <c r="J94" s="71"/>
      <c r="K94" s="69"/>
      <c r="L94" s="69"/>
      <c r="M94" s="30"/>
      <c r="N94" s="30"/>
      <c r="O94" s="30"/>
      <c r="P94" s="70"/>
      <c r="Q94" s="70"/>
      <c r="R94" s="30"/>
      <c r="S94" s="30"/>
      <c r="T94" s="30"/>
    </row>
    <row r="95" spans="1:21" x14ac:dyDescent="0.25">
      <c r="A95" s="68"/>
      <c r="B95" s="68"/>
      <c r="C95" s="30"/>
      <c r="D95" s="30"/>
      <c r="E95" s="30"/>
      <c r="F95" s="30"/>
      <c r="G95" s="69"/>
      <c r="H95" s="71"/>
      <c r="I95" s="71"/>
      <c r="J95" s="71"/>
      <c r="K95" s="69"/>
      <c r="L95" s="69"/>
      <c r="M95" s="30"/>
      <c r="N95" s="30"/>
      <c r="O95" s="30"/>
      <c r="P95" s="70"/>
      <c r="Q95" s="70"/>
      <c r="R95" s="30"/>
      <c r="S95" s="30"/>
      <c r="T95" s="30"/>
    </row>
    <row r="96" spans="1:21" x14ac:dyDescent="0.25">
      <c r="A96" s="68"/>
      <c r="B96" s="68"/>
      <c r="C96" s="30"/>
      <c r="D96" s="30"/>
      <c r="E96" s="30"/>
      <c r="F96" s="30"/>
      <c r="G96" s="69"/>
      <c r="H96" s="71"/>
      <c r="I96" s="71"/>
      <c r="J96" s="71"/>
      <c r="K96" s="69"/>
      <c r="L96" s="69"/>
      <c r="M96" s="30"/>
      <c r="N96" s="30"/>
      <c r="O96" s="30"/>
      <c r="P96" s="70"/>
      <c r="Q96" s="70"/>
      <c r="R96" s="30"/>
      <c r="S96" s="30"/>
      <c r="T96" s="30"/>
    </row>
    <row r="97" spans="1:20" x14ac:dyDescent="0.25">
      <c r="A97" s="68"/>
      <c r="B97" s="68"/>
      <c r="C97" s="30"/>
      <c r="D97" s="30"/>
      <c r="E97" s="30"/>
      <c r="F97" s="30"/>
      <c r="G97" s="69"/>
      <c r="H97" s="71"/>
      <c r="I97" s="71"/>
      <c r="J97" s="71"/>
      <c r="K97" s="69"/>
      <c r="L97" s="69"/>
      <c r="M97" s="30"/>
      <c r="N97" s="30"/>
      <c r="O97" s="30"/>
      <c r="P97" s="70"/>
      <c r="Q97" s="70"/>
      <c r="R97" s="30"/>
      <c r="S97" s="30"/>
      <c r="T97" s="30"/>
    </row>
    <row r="107" spans="1:20" ht="26.25" customHeight="1" x14ac:dyDescent="0.25">
      <c r="A107" s="293" t="s">
        <v>163</v>
      </c>
      <c r="B107" s="293"/>
      <c r="C107" s="56" t="s">
        <v>165</v>
      </c>
      <c r="D107" s="56"/>
      <c r="E107" s="56"/>
      <c r="F107" s="294" t="s">
        <v>336</v>
      </c>
      <c r="G107" s="294"/>
      <c r="H107" s="294"/>
      <c r="I107" s="294"/>
      <c r="J107" s="294"/>
      <c r="K107" s="294"/>
      <c r="L107" s="294"/>
      <c r="M107" s="56"/>
      <c r="N107" s="56"/>
      <c r="O107" s="56"/>
      <c r="P107" s="56"/>
      <c r="Q107" s="56"/>
      <c r="R107" s="56"/>
      <c r="S107" s="64" t="s">
        <v>167</v>
      </c>
      <c r="T107" s="65">
        <v>44287</v>
      </c>
    </row>
    <row r="108" spans="1:20" ht="27" customHeight="1" thickBot="1" x14ac:dyDescent="0.3">
      <c r="A108" s="296" t="s">
        <v>164</v>
      </c>
      <c r="B108" s="296"/>
      <c r="C108" s="63" t="s">
        <v>166</v>
      </c>
      <c r="D108" s="63"/>
      <c r="E108" s="62"/>
      <c r="F108" s="295"/>
      <c r="G108" s="295"/>
      <c r="H108" s="295"/>
      <c r="I108" s="295"/>
      <c r="J108" s="295"/>
      <c r="K108" s="295"/>
      <c r="L108" s="295"/>
      <c r="M108" s="32"/>
      <c r="N108" s="32"/>
      <c r="O108" s="32"/>
      <c r="P108" s="32"/>
      <c r="Q108" s="32"/>
      <c r="R108" s="32"/>
      <c r="S108" s="61" t="s">
        <v>168</v>
      </c>
      <c r="T108" s="66">
        <v>0.91666666666666663</v>
      </c>
    </row>
    <row r="109" spans="1:20" x14ac:dyDescent="0.25">
      <c r="A109" s="58" t="s">
        <v>0</v>
      </c>
      <c r="B109" s="57" t="s">
        <v>20</v>
      </c>
      <c r="C109" s="2" t="s">
        <v>132</v>
      </c>
      <c r="D109" s="2" t="s">
        <v>133</v>
      </c>
      <c r="E109" s="2" t="s">
        <v>134</v>
      </c>
      <c r="F109" s="2" t="s">
        <v>135</v>
      </c>
      <c r="G109" s="27" t="s">
        <v>136</v>
      </c>
      <c r="H109" s="2" t="s">
        <v>137</v>
      </c>
      <c r="I109" s="2" t="s">
        <v>138</v>
      </c>
      <c r="J109" s="2" t="s">
        <v>139</v>
      </c>
      <c r="K109" s="103" t="s">
        <v>140</v>
      </c>
      <c r="L109" s="60" t="s">
        <v>141</v>
      </c>
      <c r="M109" s="2" t="s">
        <v>143</v>
      </c>
      <c r="N109" s="20" t="s">
        <v>144</v>
      </c>
      <c r="O109" s="103" t="s">
        <v>145</v>
      </c>
      <c r="P109" s="33" t="s">
        <v>146</v>
      </c>
      <c r="Q109" s="48" t="s">
        <v>147</v>
      </c>
      <c r="R109" s="48" t="s">
        <v>148</v>
      </c>
      <c r="S109" s="48" t="s">
        <v>149</v>
      </c>
      <c r="T109" s="60" t="s">
        <v>150</v>
      </c>
    </row>
    <row r="110" spans="1:20" x14ac:dyDescent="0.25">
      <c r="A110" s="15"/>
      <c r="B110" s="49" t="s">
        <v>142</v>
      </c>
      <c r="C110" s="50">
        <v>15</v>
      </c>
      <c r="D110" s="50">
        <v>15</v>
      </c>
      <c r="E110" s="50">
        <v>15</v>
      </c>
      <c r="F110" s="51">
        <v>15</v>
      </c>
      <c r="G110" s="52">
        <v>15</v>
      </c>
      <c r="H110" s="50">
        <v>5</v>
      </c>
      <c r="I110" s="50">
        <v>8</v>
      </c>
      <c r="J110" s="50">
        <v>7</v>
      </c>
      <c r="K110" s="51">
        <v>20</v>
      </c>
      <c r="L110" s="52">
        <v>20</v>
      </c>
      <c r="M110" s="50">
        <v>25</v>
      </c>
      <c r="N110" s="50">
        <v>40</v>
      </c>
      <c r="O110" s="53">
        <v>65</v>
      </c>
      <c r="P110" s="54">
        <v>65</v>
      </c>
      <c r="Q110" s="55">
        <v>100</v>
      </c>
      <c r="R110" s="55" t="s">
        <v>151</v>
      </c>
      <c r="S110" s="54" t="s">
        <v>152</v>
      </c>
      <c r="T110" s="54" t="s">
        <v>153</v>
      </c>
    </row>
    <row r="111" spans="1:20" x14ac:dyDescent="0.25">
      <c r="A111" s="1" t="s">
        <v>57</v>
      </c>
      <c r="B111" s="29" t="s">
        <v>58</v>
      </c>
      <c r="C111" s="28">
        <v>6.333333333333333</v>
      </c>
      <c r="D111" s="28">
        <v>2</v>
      </c>
      <c r="E111" s="28">
        <v>11.666666666666666</v>
      </c>
      <c r="F111" s="28">
        <f>(((SUM(First_Semester_Mathematics[[#This Row],[Quiz 1]:[Quiz 3]]))/SUM($C$63:$E$63))*$F$63)</f>
        <v>6.6666666666666661</v>
      </c>
      <c r="G111" s="27">
        <f>ROUND(First_Semester_Mathematics[[#This Row],[Quiz Average]],0)</f>
        <v>7</v>
      </c>
      <c r="H111" s="31">
        <v>5</v>
      </c>
      <c r="I111" s="31">
        <v>6</v>
      </c>
      <c r="J111" s="31">
        <v>2</v>
      </c>
      <c r="K111" s="2">
        <f>SUM(First_Semester_Mathematics[[#This Row],[Assignment]:[Attendance]])</f>
        <v>13</v>
      </c>
      <c r="L111" s="27">
        <f>ROUND(First_Semester_Mathematics[[#This Row],[Total out of APA]],0)</f>
        <v>13</v>
      </c>
      <c r="M111" s="28">
        <v>21</v>
      </c>
      <c r="N111" s="28">
        <v>23.5</v>
      </c>
      <c r="O111" s="28">
        <f>SUM(First_Semester_Mathematics[[#This Row],[Midterm]:[Final]])</f>
        <v>44.5</v>
      </c>
      <c r="P111" s="42">
        <f>ROUND(First_Semester_Mathematics[[#This Row],[Mid &amp; Final]],0)</f>
        <v>45</v>
      </c>
      <c r="Q111" s="42">
        <f>SUM(G111,L111,P111)</f>
        <v>65</v>
      </c>
      <c r="R111" s="46" t="str">
        <f>IF(Q111&gt;79,"A+",IF(Q111&gt;74,"A",IF(Q111&gt;69,"A-",IF(Q111&gt;64,"B+",IF(Q111&gt;59,"B",IF(Q111&gt;54,"B-",IF(Q111&gt;49,"C+",IF(Q111&gt;44,"C",IF(Q111&gt;39,"D",IF(Q111&gt;0,"F","N/A"))))))))))</f>
        <v>B+</v>
      </c>
      <c r="S111" s="44" t="str">
        <f>IF(Q111&gt;79,"4.00",IF(Q111&gt;74,"3.75",IF(Q111&gt;69,"3.50",IF(Q111&gt;64,"3.25",IF(Q111&gt;59,"3.00",IF(Q111&gt;54,"2.75",IF(Q111&gt;49,"2.50",IF(Q111&gt;44,"2.25",IF(Q111&gt;39,"2.00",IF(Q111&gt;0,"0.00","N/A"))))))))))</f>
        <v>3.25</v>
      </c>
      <c r="T111" s="34" t="str">
        <f>IF(Q111&gt;79,"Outstanding",IF(Q111&gt;74,"Excellent",IF(Q111&gt;69,"Very Good",IF(Q111&gt;64,"Good",IF(Q111&gt;59,"Satisfactory",IF(Q111&gt;54,"Above Average",IF(Q111&gt;49,"Average",IF(Q111&gt;44,"Bellow Average",IF(Q111&gt;39,"Pass",IF(Q111&gt;0,"Fail","N/A"))))))))))</f>
        <v>Good</v>
      </c>
    </row>
    <row r="112" spans="1:20" x14ac:dyDescent="0.25">
      <c r="A112" s="1" t="s">
        <v>56</v>
      </c>
      <c r="B112" s="29" t="s">
        <v>59</v>
      </c>
      <c r="C112" s="28">
        <v>11</v>
      </c>
      <c r="D112" s="28">
        <v>15</v>
      </c>
      <c r="E112" s="28">
        <v>3.6666666666666665</v>
      </c>
      <c r="F112" s="28">
        <f>(((SUM(First_Semester_Mathematics[[#This Row],[Quiz 1]:[Quiz 3]]))/SUM($C$63:$E$63))*$F$63)</f>
        <v>9.8888888888888893</v>
      </c>
      <c r="G112" s="27">
        <f>ROUND(First_Semester_Mathematics[[#This Row],[Quiz Average]],0)</f>
        <v>10</v>
      </c>
      <c r="H112" s="31">
        <v>5</v>
      </c>
      <c r="I112" s="31">
        <v>6</v>
      </c>
      <c r="J112" s="31">
        <v>2</v>
      </c>
      <c r="K112" s="2">
        <f>SUM(First_Semester_Mathematics[[#This Row],[Assignment]:[Attendance]])</f>
        <v>13</v>
      </c>
      <c r="L112" s="27">
        <f>ROUND(First_Semester_Mathematics[[#This Row],[Total out of APA]],0)</f>
        <v>13</v>
      </c>
      <c r="M112" s="28">
        <v>21.5</v>
      </c>
      <c r="N112" s="28">
        <v>7</v>
      </c>
      <c r="O112" s="28">
        <f>SUM(First_Semester_Mathematics[[#This Row],[Midterm]:[Final]])</f>
        <v>28.5</v>
      </c>
      <c r="P112" s="42">
        <f>ROUND(First_Semester_Mathematics[[#This Row],[Mid &amp; Final]],0)</f>
        <v>29</v>
      </c>
      <c r="Q112" s="42">
        <f t="shared" ref="Q112:Q138" si="11">SUM(G112,L112,P112)</f>
        <v>52</v>
      </c>
      <c r="R112" s="46" t="str">
        <f t="shared" ref="R112:R138" si="12">IF(Q112&gt;79,"A+",IF(Q112&gt;74,"A",IF(Q112&gt;69,"A-",IF(Q112&gt;64,"B+",IF(Q112&gt;59,"B",IF(Q112&gt;54,"B-",IF(Q112&gt;49,"C+",IF(Q112&gt;44,"C",IF(Q112&gt;39,"D",IF(Q112&gt;0,"F","N/A"))))))))))</f>
        <v>C+</v>
      </c>
      <c r="S112" s="44" t="str">
        <f t="shared" ref="S112:S138" si="13">IF(Q112&gt;79,"4.00",IF(Q112&gt;74,"3.75",IF(Q112&gt;69,"3.50",IF(Q112&gt;64,"3.25",IF(Q112&gt;59,"3.00",IF(Q112&gt;54,"2.75",IF(Q112&gt;49,"2.50",IF(Q112&gt;44,"2.25",IF(Q112&gt;39,"2.00",IF(Q112&gt;0,"0.00","N/A"))))))))))</f>
        <v>2.50</v>
      </c>
      <c r="T112" s="34" t="str">
        <f t="shared" ref="T112:T138" si="14">IF(Q112&gt;79,"Outstanding",IF(Q112&gt;74,"Excellent",IF(Q112&gt;69,"Very Good",IF(Q112&gt;64,"Good",IF(Q112&gt;59,"Satisfactory",IF(Q112&gt;54,"Above Average",IF(Q112&gt;49,"Average",IF(Q112&gt;44,"Bellow Average",IF(Q112&gt;39,"Pass",IF(Q112&gt;0,"Fail","N/A"))))))))))</f>
        <v>Average</v>
      </c>
    </row>
    <row r="113" spans="1:21" x14ac:dyDescent="0.25">
      <c r="A113" s="1" t="s">
        <v>1</v>
      </c>
      <c r="B113" s="29" t="s">
        <v>27</v>
      </c>
      <c r="C113" s="28">
        <v>3.3333333333333335</v>
      </c>
      <c r="D113" s="28">
        <v>8.3333333333333339</v>
      </c>
      <c r="E113" s="28">
        <v>4.333333333333333</v>
      </c>
      <c r="F113" s="28">
        <f>(((SUM(First_Semester_Mathematics[[#This Row],[Quiz 1]:[Quiz 3]]))/SUM($C$63:$E$63))*$F$63)</f>
        <v>5.3333333333333339</v>
      </c>
      <c r="G113" s="27">
        <f>ROUND(First_Semester_Mathematics[[#This Row],[Quiz Average]],0)</f>
        <v>5</v>
      </c>
      <c r="H113" s="31">
        <v>2</v>
      </c>
      <c r="I113" s="31">
        <v>4</v>
      </c>
      <c r="J113" s="31">
        <v>3</v>
      </c>
      <c r="K113" s="2">
        <f>SUM(First_Semester_Mathematics[[#This Row],[Assignment]:[Attendance]])</f>
        <v>9</v>
      </c>
      <c r="L113" s="27">
        <f>ROUND(First_Semester_Mathematics[[#This Row],[Total out of APA]],0)</f>
        <v>9</v>
      </c>
      <c r="M113" s="28">
        <v>17</v>
      </c>
      <c r="N113" s="28">
        <v>17</v>
      </c>
      <c r="O113" s="28">
        <f>SUM(First_Semester_Mathematics[[#This Row],[Midterm]:[Final]])</f>
        <v>34</v>
      </c>
      <c r="P113" s="42">
        <f>ROUND(First_Semester_Mathematics[[#This Row],[Mid &amp; Final]],0)</f>
        <v>34</v>
      </c>
      <c r="Q113" s="42">
        <f t="shared" si="11"/>
        <v>48</v>
      </c>
      <c r="R113" s="46" t="str">
        <f t="shared" si="12"/>
        <v>C</v>
      </c>
      <c r="S113" s="44" t="str">
        <f t="shared" si="13"/>
        <v>2.25</v>
      </c>
      <c r="T113" s="34" t="str">
        <f t="shared" si="14"/>
        <v>Bellow Average</v>
      </c>
    </row>
    <row r="114" spans="1:21" x14ac:dyDescent="0.25">
      <c r="A114" s="1" t="s">
        <v>2</v>
      </c>
      <c r="B114" s="29" t="s">
        <v>28</v>
      </c>
      <c r="C114" s="28">
        <v>5.333333333333333</v>
      </c>
      <c r="D114" s="28">
        <v>1.6666666666666667</v>
      </c>
      <c r="E114" s="28">
        <v>4.333333333333333</v>
      </c>
      <c r="F114" s="28">
        <f>(((SUM(First_Semester_Mathematics[[#This Row],[Quiz 1]:[Quiz 3]]))/SUM($C$63:$E$63))*$F$63)</f>
        <v>3.7777777777777772</v>
      </c>
      <c r="G114" s="27">
        <f>ROUND(First_Semester_Mathematics[[#This Row],[Quiz Average]],0)</f>
        <v>4</v>
      </c>
      <c r="H114" s="31">
        <v>2</v>
      </c>
      <c r="I114" s="31">
        <v>5</v>
      </c>
      <c r="J114" s="31">
        <v>6</v>
      </c>
      <c r="K114" s="2">
        <f>SUM(First_Semester_Mathematics[[#This Row],[Assignment]:[Attendance]])</f>
        <v>13</v>
      </c>
      <c r="L114" s="27">
        <f>ROUND(First_Semester_Mathematics[[#This Row],[Total out of APA]],0)</f>
        <v>13</v>
      </c>
      <c r="M114" s="28">
        <v>5.5</v>
      </c>
      <c r="N114" s="28">
        <v>23</v>
      </c>
      <c r="O114" s="28">
        <f>SUM(First_Semester_Mathematics[[#This Row],[Midterm]:[Final]])</f>
        <v>28.5</v>
      </c>
      <c r="P114" s="42">
        <f>ROUND(First_Semester_Mathematics[[#This Row],[Mid &amp; Final]],0)</f>
        <v>29</v>
      </c>
      <c r="Q114" s="42">
        <f t="shared" si="11"/>
        <v>46</v>
      </c>
      <c r="R114" s="46" t="str">
        <f t="shared" si="12"/>
        <v>C</v>
      </c>
      <c r="S114" s="44" t="str">
        <f t="shared" si="13"/>
        <v>2.25</v>
      </c>
      <c r="T114" s="34" t="str">
        <f t="shared" si="14"/>
        <v>Bellow Average</v>
      </c>
    </row>
    <row r="115" spans="1:21" x14ac:dyDescent="0.25">
      <c r="A115" s="1" t="s">
        <v>3</v>
      </c>
      <c r="B115" s="29" t="s">
        <v>29</v>
      </c>
      <c r="C115" s="28">
        <v>7.333333333333333</v>
      </c>
      <c r="D115" s="28">
        <v>8</v>
      </c>
      <c r="E115" s="28">
        <v>3</v>
      </c>
      <c r="F115" s="28">
        <f>(((SUM(First_Semester_Mathematics[[#This Row],[Quiz 1]:[Quiz 3]]))/SUM($C$63:$E$63))*$F$63)</f>
        <v>6.1111111111111107</v>
      </c>
      <c r="G115" s="27">
        <f>ROUND(First_Semester_Mathematics[[#This Row],[Quiz Average]],0)</f>
        <v>6</v>
      </c>
      <c r="H115" s="31">
        <v>5</v>
      </c>
      <c r="I115" s="31">
        <v>5</v>
      </c>
      <c r="J115" s="31">
        <v>4</v>
      </c>
      <c r="K115" s="2">
        <f>SUM(First_Semester_Mathematics[[#This Row],[Assignment]:[Attendance]])</f>
        <v>14</v>
      </c>
      <c r="L115" s="27">
        <f>ROUND(First_Semester_Mathematics[[#This Row],[Total out of APA]],0)</f>
        <v>14</v>
      </c>
      <c r="M115" s="28">
        <v>11</v>
      </c>
      <c r="N115" s="28">
        <v>34</v>
      </c>
      <c r="O115" s="28">
        <f>SUM(First_Semester_Mathematics[[#This Row],[Midterm]:[Final]])</f>
        <v>45</v>
      </c>
      <c r="P115" s="42">
        <f>ROUND(First_Semester_Mathematics[[#This Row],[Mid &amp; Final]],0)</f>
        <v>45</v>
      </c>
      <c r="Q115" s="42">
        <f t="shared" si="11"/>
        <v>65</v>
      </c>
      <c r="R115" s="46" t="str">
        <f t="shared" si="12"/>
        <v>B+</v>
      </c>
      <c r="S115" s="44" t="str">
        <f t="shared" si="13"/>
        <v>3.25</v>
      </c>
      <c r="T115" s="34" t="str">
        <f t="shared" si="14"/>
        <v>Good</v>
      </c>
    </row>
    <row r="116" spans="1:21" x14ac:dyDescent="0.25">
      <c r="A116" s="1" t="s">
        <v>4</v>
      </c>
      <c r="B116" s="29" t="s">
        <v>30</v>
      </c>
      <c r="C116" s="28">
        <v>9.3333333333333339</v>
      </c>
      <c r="D116" s="28">
        <v>8</v>
      </c>
      <c r="E116" s="28">
        <v>14.666666666666666</v>
      </c>
      <c r="F116" s="28">
        <f>(((SUM(First_Semester_Mathematics[[#This Row],[Quiz 1]:[Quiz 3]]))/SUM($C$63:$E$63))*$F$63)</f>
        <v>10.666666666666668</v>
      </c>
      <c r="G116" s="27">
        <f>ROUND(First_Semester_Mathematics[[#This Row],[Quiz Average]],0)</f>
        <v>11</v>
      </c>
      <c r="H116" s="31">
        <v>3</v>
      </c>
      <c r="I116" s="31">
        <v>8</v>
      </c>
      <c r="J116" s="31">
        <v>5</v>
      </c>
      <c r="K116" s="2">
        <f>SUM(First_Semester_Mathematics[[#This Row],[Assignment]:[Attendance]])</f>
        <v>16</v>
      </c>
      <c r="L116" s="27">
        <f>ROUND(First_Semester_Mathematics[[#This Row],[Total out of APA]],0)</f>
        <v>16</v>
      </c>
      <c r="M116" s="28">
        <v>6.5</v>
      </c>
      <c r="N116" s="28">
        <v>14.5</v>
      </c>
      <c r="O116" s="28">
        <f>SUM(First_Semester_Mathematics[[#This Row],[Midterm]:[Final]])</f>
        <v>21</v>
      </c>
      <c r="P116" s="42">
        <f>ROUND(First_Semester_Mathematics[[#This Row],[Mid &amp; Final]],0)</f>
        <v>21</v>
      </c>
      <c r="Q116" s="42">
        <f t="shared" si="11"/>
        <v>48</v>
      </c>
      <c r="R116" s="46" t="str">
        <f t="shared" si="12"/>
        <v>C</v>
      </c>
      <c r="S116" s="44" t="str">
        <f t="shared" si="13"/>
        <v>2.25</v>
      </c>
      <c r="T116" s="34" t="str">
        <f t="shared" si="14"/>
        <v>Bellow Average</v>
      </c>
    </row>
    <row r="117" spans="1:21" x14ac:dyDescent="0.25">
      <c r="A117" s="210" t="s">
        <v>5</v>
      </c>
      <c r="B117" s="211" t="s">
        <v>31</v>
      </c>
      <c r="C117" s="209"/>
      <c r="D117" s="209"/>
      <c r="E117" s="209"/>
      <c r="F117" s="209"/>
      <c r="G117" s="212"/>
      <c r="H117" s="213"/>
      <c r="I117" s="213"/>
      <c r="J117" s="213"/>
      <c r="K117" s="208"/>
      <c r="L117" s="212"/>
      <c r="M117" s="209"/>
      <c r="N117" s="209"/>
      <c r="O117" s="209"/>
      <c r="P117" s="214"/>
      <c r="Q117" s="214"/>
      <c r="R117" s="215"/>
      <c r="S117" s="216"/>
      <c r="T117" s="217"/>
      <c r="U117" s="21"/>
    </row>
    <row r="118" spans="1:21" x14ac:dyDescent="0.25">
      <c r="A118" s="1" t="s">
        <v>6</v>
      </c>
      <c r="B118" s="29" t="s">
        <v>32</v>
      </c>
      <c r="C118" s="28">
        <v>10.333333333333334</v>
      </c>
      <c r="D118" s="28">
        <v>2.6666666666666665</v>
      </c>
      <c r="E118" s="28">
        <v>7.666666666666667</v>
      </c>
      <c r="F118" s="28">
        <f>(((SUM(First_Semester_Mathematics[[#This Row],[Quiz 1]:[Quiz 3]]))/SUM($C$63:$E$63))*$F$63)</f>
        <v>6.8888888888888893</v>
      </c>
      <c r="G118" s="27">
        <f>ROUND(First_Semester_Mathematics[[#This Row],[Quiz Average]],0)</f>
        <v>7</v>
      </c>
      <c r="H118" s="31">
        <v>5</v>
      </c>
      <c r="I118" s="31">
        <v>3</v>
      </c>
      <c r="J118" s="31">
        <v>3</v>
      </c>
      <c r="K118" s="2">
        <f>SUM(First_Semester_Mathematics[[#This Row],[Assignment]:[Attendance]])</f>
        <v>11</v>
      </c>
      <c r="L118" s="27">
        <f>ROUND(First_Semester_Mathematics[[#This Row],[Total out of APA]],0)</f>
        <v>11</v>
      </c>
      <c r="M118" s="28">
        <v>10.5</v>
      </c>
      <c r="N118" s="28">
        <v>37</v>
      </c>
      <c r="O118" s="28">
        <f>SUM(First_Semester_Mathematics[[#This Row],[Midterm]:[Final]])</f>
        <v>47.5</v>
      </c>
      <c r="P118" s="42">
        <f>ROUND(First_Semester_Mathematics[[#This Row],[Mid &amp; Final]],0)</f>
        <v>48</v>
      </c>
      <c r="Q118" s="42">
        <f t="shared" si="11"/>
        <v>66</v>
      </c>
      <c r="R118" s="46" t="str">
        <f t="shared" si="12"/>
        <v>B+</v>
      </c>
      <c r="S118" s="44" t="str">
        <f t="shared" si="13"/>
        <v>3.25</v>
      </c>
      <c r="T118" s="34" t="str">
        <f t="shared" si="14"/>
        <v>Good</v>
      </c>
      <c r="U118" s="21"/>
    </row>
    <row r="119" spans="1:21" x14ac:dyDescent="0.25">
      <c r="A119" s="1" t="s">
        <v>7</v>
      </c>
      <c r="B119" s="29" t="s">
        <v>33</v>
      </c>
      <c r="C119" s="28">
        <v>12</v>
      </c>
      <c r="D119" s="28">
        <v>10.666666666666666</v>
      </c>
      <c r="E119" s="28">
        <v>11</v>
      </c>
      <c r="F119" s="28">
        <f>(((SUM(First_Semester_Mathematics[[#This Row],[Quiz 1]:[Quiz 3]]))/SUM($C$63:$E$63))*$F$63)</f>
        <v>11.222222222222221</v>
      </c>
      <c r="G119" s="27">
        <f>ROUND(First_Semester_Mathematics[[#This Row],[Quiz Average]],0)</f>
        <v>11</v>
      </c>
      <c r="H119" s="31">
        <v>4</v>
      </c>
      <c r="I119" s="31">
        <v>3</v>
      </c>
      <c r="J119" s="31">
        <v>3</v>
      </c>
      <c r="K119" s="2">
        <f>SUM(First_Semester_Mathematics[[#This Row],[Assignment]:[Attendance]])</f>
        <v>10</v>
      </c>
      <c r="L119" s="27">
        <f>ROUND(First_Semester_Mathematics[[#This Row],[Total out of APA]],0)</f>
        <v>10</v>
      </c>
      <c r="M119" s="28">
        <v>14</v>
      </c>
      <c r="N119" s="28">
        <v>33.5</v>
      </c>
      <c r="O119" s="28">
        <f>SUM(First_Semester_Mathematics[[#This Row],[Midterm]:[Final]])</f>
        <v>47.5</v>
      </c>
      <c r="P119" s="42">
        <f>ROUND(First_Semester_Mathematics[[#This Row],[Mid &amp; Final]],0)</f>
        <v>48</v>
      </c>
      <c r="Q119" s="42">
        <f t="shared" si="11"/>
        <v>69</v>
      </c>
      <c r="R119" s="46" t="str">
        <f t="shared" si="12"/>
        <v>B+</v>
      </c>
      <c r="S119" s="44" t="str">
        <f t="shared" si="13"/>
        <v>3.25</v>
      </c>
      <c r="T119" s="34" t="str">
        <f t="shared" si="14"/>
        <v>Good</v>
      </c>
      <c r="U119" s="21"/>
    </row>
    <row r="120" spans="1:21" x14ac:dyDescent="0.25">
      <c r="A120" s="1" t="s">
        <v>8</v>
      </c>
      <c r="B120" s="29" t="s">
        <v>34</v>
      </c>
      <c r="C120" s="28">
        <v>2.6666666666666665</v>
      </c>
      <c r="D120" s="28">
        <v>7.333333333333333</v>
      </c>
      <c r="E120" s="28">
        <v>11.333333333333334</v>
      </c>
      <c r="F120" s="28">
        <f>(((SUM(First_Semester_Mathematics[[#This Row],[Quiz 1]:[Quiz 3]]))/SUM($C$63:$E$63))*$F$63)</f>
        <v>7.1111111111111125</v>
      </c>
      <c r="G120" s="27">
        <f>ROUND(First_Semester_Mathematics[[#This Row],[Quiz Average]],0)</f>
        <v>7</v>
      </c>
      <c r="H120" s="31">
        <v>2</v>
      </c>
      <c r="I120" s="31">
        <v>5</v>
      </c>
      <c r="J120" s="31">
        <v>7</v>
      </c>
      <c r="K120" s="2">
        <f>SUM(First_Semester_Mathematics[[#This Row],[Assignment]:[Attendance]])</f>
        <v>14</v>
      </c>
      <c r="L120" s="27">
        <f>ROUND(First_Semester_Mathematics[[#This Row],[Total out of APA]],0)</f>
        <v>14</v>
      </c>
      <c r="M120" s="28">
        <v>14</v>
      </c>
      <c r="N120" s="28">
        <v>4.5</v>
      </c>
      <c r="O120" s="28">
        <f>SUM(First_Semester_Mathematics[[#This Row],[Midterm]:[Final]])</f>
        <v>18.5</v>
      </c>
      <c r="P120" s="42">
        <f>ROUND(First_Semester_Mathematics[[#This Row],[Mid &amp; Final]],0)</f>
        <v>19</v>
      </c>
      <c r="Q120" s="42">
        <f t="shared" si="11"/>
        <v>40</v>
      </c>
      <c r="R120" s="46" t="str">
        <f t="shared" si="12"/>
        <v>D</v>
      </c>
      <c r="S120" s="44" t="str">
        <f t="shared" si="13"/>
        <v>2.00</v>
      </c>
      <c r="T120" s="34" t="str">
        <f t="shared" si="14"/>
        <v>Pass</v>
      </c>
      <c r="U120" s="21"/>
    </row>
    <row r="121" spans="1:21" x14ac:dyDescent="0.25">
      <c r="A121" s="1" t="s">
        <v>9</v>
      </c>
      <c r="B121" s="29" t="s">
        <v>35</v>
      </c>
      <c r="C121" s="28">
        <v>5.666666666666667</v>
      </c>
      <c r="D121" s="28">
        <v>4</v>
      </c>
      <c r="E121" s="28">
        <v>8</v>
      </c>
      <c r="F121" s="28">
        <f>(((SUM(First_Semester_Mathematics[[#This Row],[Quiz 1]:[Quiz 3]]))/SUM($C$63:$E$63))*$F$63)</f>
        <v>5.8888888888888893</v>
      </c>
      <c r="G121" s="27">
        <f>ROUND(First_Semester_Mathematics[[#This Row],[Quiz Average]],0)</f>
        <v>6</v>
      </c>
      <c r="H121" s="31">
        <v>4</v>
      </c>
      <c r="I121" s="31">
        <v>3</v>
      </c>
      <c r="J121" s="31">
        <v>4</v>
      </c>
      <c r="K121" s="2">
        <f>SUM(First_Semester_Mathematics[[#This Row],[Assignment]:[Attendance]])</f>
        <v>11</v>
      </c>
      <c r="L121" s="27">
        <f>ROUND(First_Semester_Mathematics[[#This Row],[Total out of APA]],0)</f>
        <v>11</v>
      </c>
      <c r="M121" s="28">
        <v>25</v>
      </c>
      <c r="N121" s="28">
        <v>4</v>
      </c>
      <c r="O121" s="28">
        <f>SUM(First_Semester_Mathematics[[#This Row],[Midterm]:[Final]])</f>
        <v>29</v>
      </c>
      <c r="P121" s="42">
        <f>ROUND(First_Semester_Mathematics[[#This Row],[Mid &amp; Final]],0)</f>
        <v>29</v>
      </c>
      <c r="Q121" s="42">
        <f t="shared" si="11"/>
        <v>46</v>
      </c>
      <c r="R121" s="46" t="str">
        <f t="shared" si="12"/>
        <v>C</v>
      </c>
      <c r="S121" s="44" t="str">
        <f t="shared" si="13"/>
        <v>2.25</v>
      </c>
      <c r="T121" s="34" t="str">
        <f t="shared" si="14"/>
        <v>Bellow Average</v>
      </c>
      <c r="U121" s="21"/>
    </row>
    <row r="122" spans="1:21" x14ac:dyDescent="0.25">
      <c r="A122" s="1" t="s">
        <v>10</v>
      </c>
      <c r="B122" s="29" t="s">
        <v>36</v>
      </c>
      <c r="C122" s="28">
        <v>7.333333333333333</v>
      </c>
      <c r="D122" s="28">
        <v>2</v>
      </c>
      <c r="E122" s="28">
        <v>13.333333333333334</v>
      </c>
      <c r="F122" s="28">
        <f>(((SUM(First_Semester_Mathematics[[#This Row],[Quiz 1]:[Quiz 3]]))/SUM($C$63:$E$63))*$F$63)</f>
        <v>7.5555555555555545</v>
      </c>
      <c r="G122" s="27">
        <f>ROUND(First_Semester_Mathematics[[#This Row],[Quiz Average]],0)</f>
        <v>8</v>
      </c>
      <c r="H122" s="31">
        <v>3</v>
      </c>
      <c r="I122" s="31">
        <v>3</v>
      </c>
      <c r="J122" s="31">
        <v>2</v>
      </c>
      <c r="K122" s="2">
        <f>SUM(First_Semester_Mathematics[[#This Row],[Assignment]:[Attendance]])</f>
        <v>8</v>
      </c>
      <c r="L122" s="27">
        <f>ROUND(First_Semester_Mathematics[[#This Row],[Total out of APA]],0)</f>
        <v>8</v>
      </c>
      <c r="M122" s="28">
        <v>14.5</v>
      </c>
      <c r="N122" s="28">
        <v>16.5</v>
      </c>
      <c r="O122" s="28">
        <f>SUM(First_Semester_Mathematics[[#This Row],[Midterm]:[Final]])</f>
        <v>31</v>
      </c>
      <c r="P122" s="42">
        <f>ROUND(First_Semester_Mathematics[[#This Row],[Mid &amp; Final]],0)</f>
        <v>31</v>
      </c>
      <c r="Q122" s="42">
        <f t="shared" si="11"/>
        <v>47</v>
      </c>
      <c r="R122" s="46" t="str">
        <f t="shared" si="12"/>
        <v>C</v>
      </c>
      <c r="S122" s="44" t="str">
        <f t="shared" si="13"/>
        <v>2.25</v>
      </c>
      <c r="T122" s="34" t="str">
        <f t="shared" si="14"/>
        <v>Bellow Average</v>
      </c>
      <c r="U122" s="21"/>
    </row>
    <row r="123" spans="1:21" x14ac:dyDescent="0.25">
      <c r="A123" s="210" t="s">
        <v>11</v>
      </c>
      <c r="B123" s="211" t="s">
        <v>31</v>
      </c>
      <c r="C123" s="209"/>
      <c r="D123" s="209"/>
      <c r="E123" s="209"/>
      <c r="F123" s="209"/>
      <c r="G123" s="212"/>
      <c r="H123" s="213"/>
      <c r="I123" s="213"/>
      <c r="J123" s="213"/>
      <c r="K123" s="208"/>
      <c r="L123" s="212"/>
      <c r="M123" s="209"/>
      <c r="N123" s="209"/>
      <c r="O123" s="209"/>
      <c r="P123" s="214"/>
      <c r="Q123" s="214"/>
      <c r="R123" s="215"/>
      <c r="S123" s="216"/>
      <c r="T123" s="217"/>
      <c r="U123" s="21"/>
    </row>
    <row r="124" spans="1:21" x14ac:dyDescent="0.25">
      <c r="A124" s="1" t="s">
        <v>12</v>
      </c>
      <c r="B124" s="29" t="s">
        <v>37</v>
      </c>
      <c r="C124" s="28">
        <v>8</v>
      </c>
      <c r="D124" s="28">
        <v>11</v>
      </c>
      <c r="E124" s="28">
        <v>8</v>
      </c>
      <c r="F124" s="28">
        <f>(((SUM(First_Semester_Mathematics[[#This Row],[Quiz 1]:[Quiz 3]]))/SUM($C$63:$E$63))*$F$63)</f>
        <v>9</v>
      </c>
      <c r="G124" s="27">
        <f>ROUND(First_Semester_Mathematics[[#This Row],[Quiz Average]],0)</f>
        <v>9</v>
      </c>
      <c r="H124" s="31">
        <v>4</v>
      </c>
      <c r="I124" s="31">
        <v>5</v>
      </c>
      <c r="J124" s="31">
        <v>6</v>
      </c>
      <c r="K124" s="2">
        <f>SUM(First_Semester_Mathematics[[#This Row],[Assignment]:[Attendance]])</f>
        <v>15</v>
      </c>
      <c r="L124" s="27">
        <f>ROUND(First_Semester_Mathematics[[#This Row],[Total out of APA]],0)</f>
        <v>15</v>
      </c>
      <c r="M124" s="28">
        <v>19</v>
      </c>
      <c r="N124" s="28">
        <v>5.5</v>
      </c>
      <c r="O124" s="28">
        <f>SUM(First_Semester_Mathematics[[#This Row],[Midterm]:[Final]])</f>
        <v>24.5</v>
      </c>
      <c r="P124" s="42">
        <f>ROUND(First_Semester_Mathematics[[#This Row],[Mid &amp; Final]],0)</f>
        <v>25</v>
      </c>
      <c r="Q124" s="42">
        <f t="shared" si="11"/>
        <v>49</v>
      </c>
      <c r="R124" s="46" t="str">
        <f t="shared" si="12"/>
        <v>C</v>
      </c>
      <c r="S124" s="44" t="str">
        <f t="shared" si="13"/>
        <v>2.25</v>
      </c>
      <c r="T124" s="34" t="str">
        <f t="shared" si="14"/>
        <v>Bellow Average</v>
      </c>
      <c r="U124" s="21"/>
    </row>
    <row r="125" spans="1:21" x14ac:dyDescent="0.25">
      <c r="A125" s="1" t="s">
        <v>13</v>
      </c>
      <c r="B125" s="29" t="s">
        <v>38</v>
      </c>
      <c r="C125" s="28">
        <v>8</v>
      </c>
      <c r="D125" s="28">
        <v>6.666666666666667</v>
      </c>
      <c r="E125" s="28">
        <v>12.666666666666666</v>
      </c>
      <c r="F125" s="28">
        <f>(((SUM(First_Semester_Mathematics[[#This Row],[Quiz 1]:[Quiz 3]]))/SUM($C$63:$E$63))*$F$63)</f>
        <v>9.1111111111111125</v>
      </c>
      <c r="G125" s="27">
        <f>ROUND(First_Semester_Mathematics[[#This Row],[Quiz Average]],0)</f>
        <v>9</v>
      </c>
      <c r="H125" s="31">
        <v>2</v>
      </c>
      <c r="I125" s="31">
        <v>3</v>
      </c>
      <c r="J125" s="31">
        <v>7</v>
      </c>
      <c r="K125" s="2">
        <f>SUM(First_Semester_Mathematics[[#This Row],[Assignment]:[Attendance]])</f>
        <v>12</v>
      </c>
      <c r="L125" s="27">
        <f>ROUND(First_Semester_Mathematics[[#This Row],[Total out of APA]],0)</f>
        <v>12</v>
      </c>
      <c r="M125" s="28">
        <v>23</v>
      </c>
      <c r="N125" s="28">
        <v>37.5</v>
      </c>
      <c r="O125" s="28">
        <f>SUM(First_Semester_Mathematics[[#This Row],[Midterm]:[Final]])</f>
        <v>60.5</v>
      </c>
      <c r="P125" s="42">
        <f>ROUND(First_Semester_Mathematics[[#This Row],[Mid &amp; Final]],0)</f>
        <v>61</v>
      </c>
      <c r="Q125" s="42">
        <f t="shared" si="11"/>
        <v>82</v>
      </c>
      <c r="R125" s="46" t="str">
        <f t="shared" si="12"/>
        <v>A+</v>
      </c>
      <c r="S125" s="44" t="str">
        <f t="shared" si="13"/>
        <v>4.00</v>
      </c>
      <c r="T125" s="34" t="str">
        <f t="shared" si="14"/>
        <v>Outstanding</v>
      </c>
      <c r="U125" s="21"/>
    </row>
    <row r="126" spans="1:21" x14ac:dyDescent="0.25">
      <c r="A126" s="1" t="s">
        <v>14</v>
      </c>
      <c r="B126" s="29" t="s">
        <v>39</v>
      </c>
      <c r="C126" s="28">
        <v>1.6666666666666667</v>
      </c>
      <c r="D126" s="28">
        <v>9.3333333333333339</v>
      </c>
      <c r="E126" s="28">
        <v>14.333333333333334</v>
      </c>
      <c r="F126" s="28">
        <f>(((SUM(First_Semester_Mathematics[[#This Row],[Quiz 1]:[Quiz 3]]))/SUM($C$63:$E$63))*$F$63)</f>
        <v>8.4444444444444446</v>
      </c>
      <c r="G126" s="27">
        <f>ROUND(First_Semester_Mathematics[[#This Row],[Quiz Average]],0)</f>
        <v>8</v>
      </c>
      <c r="H126" s="31">
        <v>5</v>
      </c>
      <c r="I126" s="31">
        <v>4</v>
      </c>
      <c r="J126" s="31">
        <v>6</v>
      </c>
      <c r="K126" s="2">
        <f>SUM(First_Semester_Mathematics[[#This Row],[Assignment]:[Attendance]])</f>
        <v>15</v>
      </c>
      <c r="L126" s="27">
        <f>ROUND(First_Semester_Mathematics[[#This Row],[Total out of APA]],0)</f>
        <v>15</v>
      </c>
      <c r="M126" s="28">
        <v>9.5</v>
      </c>
      <c r="N126" s="28">
        <v>9</v>
      </c>
      <c r="O126" s="28">
        <f>SUM(First_Semester_Mathematics[[#This Row],[Midterm]:[Final]])</f>
        <v>18.5</v>
      </c>
      <c r="P126" s="42">
        <f>ROUND(First_Semester_Mathematics[[#This Row],[Mid &amp; Final]],0)</f>
        <v>19</v>
      </c>
      <c r="Q126" s="42">
        <f t="shared" si="11"/>
        <v>42</v>
      </c>
      <c r="R126" s="46" t="str">
        <f t="shared" si="12"/>
        <v>D</v>
      </c>
      <c r="S126" s="44" t="str">
        <f t="shared" si="13"/>
        <v>2.00</v>
      </c>
      <c r="T126" s="34" t="str">
        <f t="shared" si="14"/>
        <v>Pass</v>
      </c>
      <c r="U126" s="21"/>
    </row>
    <row r="127" spans="1:21" x14ac:dyDescent="0.25">
      <c r="A127" s="1" t="s">
        <v>15</v>
      </c>
      <c r="B127" s="29" t="s">
        <v>40</v>
      </c>
      <c r="C127" s="28">
        <v>9.3333333333333339</v>
      </c>
      <c r="D127" s="28">
        <v>10</v>
      </c>
      <c r="E127" s="28">
        <v>11.666666666666666</v>
      </c>
      <c r="F127" s="28">
        <f>(((SUM(First_Semester_Mathematics[[#This Row],[Quiz 1]:[Quiz 3]]))/SUM($C$63:$E$63))*$F$63)</f>
        <v>10.333333333333334</v>
      </c>
      <c r="G127" s="27">
        <f>ROUND(First_Semester_Mathematics[[#This Row],[Quiz Average]],0)</f>
        <v>10</v>
      </c>
      <c r="H127" s="31">
        <v>5</v>
      </c>
      <c r="I127" s="31">
        <v>6</v>
      </c>
      <c r="J127" s="31">
        <v>5</v>
      </c>
      <c r="K127" s="2">
        <f>SUM(First_Semester_Mathematics[[#This Row],[Assignment]:[Attendance]])</f>
        <v>16</v>
      </c>
      <c r="L127" s="27">
        <f>ROUND(First_Semester_Mathematics[[#This Row],[Total out of APA]],0)</f>
        <v>16</v>
      </c>
      <c r="M127" s="28">
        <v>3</v>
      </c>
      <c r="N127" s="28">
        <v>33.5</v>
      </c>
      <c r="O127" s="28">
        <f>SUM(First_Semester_Mathematics[[#This Row],[Midterm]:[Final]])</f>
        <v>36.5</v>
      </c>
      <c r="P127" s="42">
        <f>ROUND(First_Semester_Mathematics[[#This Row],[Mid &amp; Final]],0)</f>
        <v>37</v>
      </c>
      <c r="Q127" s="42">
        <f t="shared" si="11"/>
        <v>63</v>
      </c>
      <c r="R127" s="46" t="str">
        <f t="shared" si="12"/>
        <v>B</v>
      </c>
      <c r="S127" s="44" t="str">
        <f t="shared" si="13"/>
        <v>3.00</v>
      </c>
      <c r="T127" s="34" t="str">
        <f t="shared" si="14"/>
        <v>Satisfactory</v>
      </c>
      <c r="U127" s="21"/>
    </row>
    <row r="128" spans="1:21" x14ac:dyDescent="0.25">
      <c r="A128" s="210" t="s">
        <v>16</v>
      </c>
      <c r="B128" s="211" t="s">
        <v>31</v>
      </c>
      <c r="C128" s="209"/>
      <c r="D128" s="209"/>
      <c r="E128" s="209"/>
      <c r="F128" s="209"/>
      <c r="G128" s="212"/>
      <c r="H128" s="213"/>
      <c r="I128" s="213"/>
      <c r="J128" s="213"/>
      <c r="K128" s="208"/>
      <c r="L128" s="212"/>
      <c r="M128" s="209"/>
      <c r="N128" s="209"/>
      <c r="O128" s="209"/>
      <c r="P128" s="214"/>
      <c r="Q128" s="214"/>
      <c r="R128" s="215"/>
      <c r="S128" s="216"/>
      <c r="T128" s="217"/>
      <c r="U128" s="21"/>
    </row>
    <row r="129" spans="1:20" x14ac:dyDescent="0.25">
      <c r="A129" s="1" t="s">
        <v>17</v>
      </c>
      <c r="B129" s="29" t="s">
        <v>41</v>
      </c>
      <c r="C129" s="28">
        <v>8.3333333333333339</v>
      </c>
      <c r="D129" s="28">
        <v>10</v>
      </c>
      <c r="E129" s="28">
        <v>5</v>
      </c>
      <c r="F129" s="28">
        <f>(((SUM(First_Semester_Mathematics[[#This Row],[Quiz 1]:[Quiz 3]]))/SUM($C$63:$E$63))*$F$63)</f>
        <v>7.7777777777777786</v>
      </c>
      <c r="G129" s="27">
        <f>ROUND(First_Semester_Mathematics[[#This Row],[Quiz Average]],0)</f>
        <v>8</v>
      </c>
      <c r="H129" s="31">
        <v>3</v>
      </c>
      <c r="I129" s="31">
        <v>2</v>
      </c>
      <c r="J129" s="31">
        <v>4</v>
      </c>
      <c r="K129" s="2">
        <f>SUM(First_Semester_Mathematics[[#This Row],[Assignment]:[Attendance]])</f>
        <v>9</v>
      </c>
      <c r="L129" s="27">
        <f>ROUND(First_Semester_Mathematics[[#This Row],[Total out of APA]],0)</f>
        <v>9</v>
      </c>
      <c r="M129" s="28">
        <v>22</v>
      </c>
      <c r="N129" s="28">
        <v>19</v>
      </c>
      <c r="O129" s="28">
        <f>SUM(First_Semester_Mathematics[[#This Row],[Midterm]:[Final]])</f>
        <v>41</v>
      </c>
      <c r="P129" s="42">
        <f>ROUND(First_Semester_Mathematics[[#This Row],[Mid &amp; Final]],0)</f>
        <v>41</v>
      </c>
      <c r="Q129" s="42">
        <f t="shared" si="11"/>
        <v>58</v>
      </c>
      <c r="R129" s="46" t="str">
        <f t="shared" si="12"/>
        <v>B-</v>
      </c>
      <c r="S129" s="44" t="str">
        <f t="shared" si="13"/>
        <v>2.75</v>
      </c>
      <c r="T129" s="34" t="str">
        <f t="shared" si="14"/>
        <v>Above Average</v>
      </c>
    </row>
    <row r="130" spans="1:20" x14ac:dyDescent="0.25">
      <c r="A130" s="1" t="s">
        <v>18</v>
      </c>
      <c r="B130" s="29" t="s">
        <v>42</v>
      </c>
      <c r="C130" s="28">
        <v>14</v>
      </c>
      <c r="D130" s="28">
        <v>9.3333333333333339</v>
      </c>
      <c r="E130" s="28">
        <v>2.3333333333333335</v>
      </c>
      <c r="F130" s="28">
        <f>(((SUM(First_Semester_Mathematics[[#This Row],[Quiz 1]:[Quiz 3]]))/SUM($C$63:$E$63))*$F$63)</f>
        <v>8.5555555555555571</v>
      </c>
      <c r="G130" s="27">
        <f>ROUND(First_Semester_Mathematics[[#This Row],[Quiz Average]],0)</f>
        <v>9</v>
      </c>
      <c r="H130" s="31">
        <v>4</v>
      </c>
      <c r="I130" s="31">
        <v>5</v>
      </c>
      <c r="J130" s="31">
        <v>6</v>
      </c>
      <c r="K130" s="2">
        <f>SUM(First_Semester_Mathematics[[#This Row],[Assignment]:[Attendance]])</f>
        <v>15</v>
      </c>
      <c r="L130" s="27">
        <f>ROUND(First_Semester_Mathematics[[#This Row],[Total out of APA]],0)</f>
        <v>15</v>
      </c>
      <c r="M130" s="28">
        <v>6</v>
      </c>
      <c r="N130" s="28">
        <v>29</v>
      </c>
      <c r="O130" s="28">
        <f>SUM(First_Semester_Mathematics[[#This Row],[Midterm]:[Final]])</f>
        <v>35</v>
      </c>
      <c r="P130" s="42">
        <f>ROUND(First_Semester_Mathematics[[#This Row],[Mid &amp; Final]],0)</f>
        <v>35</v>
      </c>
      <c r="Q130" s="42">
        <f t="shared" si="11"/>
        <v>59</v>
      </c>
      <c r="R130" s="46" t="str">
        <f t="shared" si="12"/>
        <v>B-</v>
      </c>
      <c r="S130" s="44" t="str">
        <f t="shared" si="13"/>
        <v>2.75</v>
      </c>
      <c r="T130" s="34" t="str">
        <f t="shared" si="14"/>
        <v>Above Average</v>
      </c>
    </row>
    <row r="131" spans="1:20" x14ac:dyDescent="0.25">
      <c r="A131" s="1" t="s">
        <v>19</v>
      </c>
      <c r="B131" s="29" t="s">
        <v>43</v>
      </c>
      <c r="C131" s="28">
        <v>12.333333333333334</v>
      </c>
      <c r="D131" s="28">
        <v>14.333333333333334</v>
      </c>
      <c r="E131" s="28">
        <v>13.666666666666666</v>
      </c>
      <c r="F131" s="28">
        <f>(((SUM(First_Semester_Mathematics[[#This Row],[Quiz 1]:[Quiz 3]]))/SUM($C$63:$E$63))*$F$63)</f>
        <v>13.444444444444446</v>
      </c>
      <c r="G131" s="27">
        <f>ROUND(First_Semester_Mathematics[[#This Row],[Quiz Average]],0)</f>
        <v>13</v>
      </c>
      <c r="H131" s="31">
        <v>5</v>
      </c>
      <c r="I131" s="31">
        <v>5</v>
      </c>
      <c r="J131" s="31">
        <v>6</v>
      </c>
      <c r="K131" s="2">
        <f>SUM(First_Semester_Mathematics[[#This Row],[Assignment]:[Attendance]])</f>
        <v>16</v>
      </c>
      <c r="L131" s="27">
        <f>ROUND(First_Semester_Mathematics[[#This Row],[Total out of APA]],0)</f>
        <v>16</v>
      </c>
      <c r="M131" s="28">
        <v>20</v>
      </c>
      <c r="N131" s="28">
        <v>31.5</v>
      </c>
      <c r="O131" s="28">
        <f>SUM(First_Semester_Mathematics[[#This Row],[Midterm]:[Final]])</f>
        <v>51.5</v>
      </c>
      <c r="P131" s="42">
        <f>ROUND(First_Semester_Mathematics[[#This Row],[Mid &amp; Final]],0)</f>
        <v>52</v>
      </c>
      <c r="Q131" s="42">
        <f t="shared" si="11"/>
        <v>81</v>
      </c>
      <c r="R131" s="46" t="str">
        <f t="shared" si="12"/>
        <v>A+</v>
      </c>
      <c r="S131" s="44" t="str">
        <f t="shared" si="13"/>
        <v>4.00</v>
      </c>
      <c r="T131" s="34" t="str">
        <f t="shared" si="14"/>
        <v>Outstanding</v>
      </c>
    </row>
    <row r="132" spans="1:20" x14ac:dyDescent="0.25">
      <c r="A132" s="1" t="s">
        <v>23</v>
      </c>
      <c r="B132" s="29" t="s">
        <v>44</v>
      </c>
      <c r="C132" s="28">
        <v>1</v>
      </c>
      <c r="D132" s="28">
        <v>6.666666666666667</v>
      </c>
      <c r="E132" s="28">
        <v>1.6666666666666667</v>
      </c>
      <c r="F132" s="28">
        <f>(((SUM(First_Semester_Mathematics[[#This Row],[Quiz 1]:[Quiz 3]]))/SUM($C$63:$E$63))*$F$63)</f>
        <v>3.1111111111111116</v>
      </c>
      <c r="G132" s="27">
        <f>ROUND(First_Semester_Mathematics[[#This Row],[Quiz Average]],0)</f>
        <v>3</v>
      </c>
      <c r="H132" s="31">
        <v>4</v>
      </c>
      <c r="I132" s="31">
        <v>4</v>
      </c>
      <c r="J132" s="31">
        <v>4</v>
      </c>
      <c r="K132" s="2">
        <f>SUM(First_Semester_Mathematics[[#This Row],[Assignment]:[Attendance]])</f>
        <v>12</v>
      </c>
      <c r="L132" s="27">
        <f>ROUND(First_Semester_Mathematics[[#This Row],[Total out of APA]],0)</f>
        <v>12</v>
      </c>
      <c r="M132" s="28">
        <v>21.5</v>
      </c>
      <c r="N132" s="28">
        <v>30</v>
      </c>
      <c r="O132" s="28">
        <f>SUM(First_Semester_Mathematics[[#This Row],[Midterm]:[Final]])</f>
        <v>51.5</v>
      </c>
      <c r="P132" s="42">
        <f>ROUND(First_Semester_Mathematics[[#This Row],[Mid &amp; Final]],0)</f>
        <v>52</v>
      </c>
      <c r="Q132" s="42">
        <f t="shared" si="11"/>
        <v>67</v>
      </c>
      <c r="R132" s="46" t="str">
        <f t="shared" si="12"/>
        <v>B+</v>
      </c>
      <c r="S132" s="44" t="str">
        <f t="shared" si="13"/>
        <v>3.25</v>
      </c>
      <c r="T132" s="34" t="str">
        <f t="shared" si="14"/>
        <v>Good</v>
      </c>
    </row>
    <row r="133" spans="1:20" x14ac:dyDescent="0.25">
      <c r="A133" s="1" t="s">
        <v>24</v>
      </c>
      <c r="B133" s="29" t="s">
        <v>45</v>
      </c>
      <c r="C133" s="28">
        <v>14.666666666666666</v>
      </c>
      <c r="D133" s="28">
        <v>9</v>
      </c>
      <c r="E133" s="28">
        <v>10.333333333333334</v>
      </c>
      <c r="F133" s="28">
        <f>(((SUM(First_Semester_Mathematics[[#This Row],[Quiz 1]:[Quiz 3]]))/SUM($C$63:$E$63))*$F$63)</f>
        <v>11.333333333333332</v>
      </c>
      <c r="G133" s="27">
        <f>ROUND(First_Semester_Mathematics[[#This Row],[Quiz Average]],0)</f>
        <v>11</v>
      </c>
      <c r="H133" s="31">
        <v>4</v>
      </c>
      <c r="I133" s="31">
        <v>6</v>
      </c>
      <c r="J133" s="31">
        <v>3</v>
      </c>
      <c r="K133" s="2">
        <f>SUM(First_Semester_Mathematics[[#This Row],[Assignment]:[Attendance]])</f>
        <v>13</v>
      </c>
      <c r="L133" s="27">
        <f>ROUND(First_Semester_Mathematics[[#This Row],[Total out of APA]],0)</f>
        <v>13</v>
      </c>
      <c r="M133" s="28">
        <v>9</v>
      </c>
      <c r="N133" s="28">
        <v>13</v>
      </c>
      <c r="O133" s="28">
        <f>SUM(First_Semester_Mathematics[[#This Row],[Midterm]:[Final]])</f>
        <v>22</v>
      </c>
      <c r="P133" s="42">
        <f>ROUND(First_Semester_Mathematics[[#This Row],[Mid &amp; Final]],0)</f>
        <v>22</v>
      </c>
      <c r="Q133" s="42">
        <f t="shared" si="11"/>
        <v>46</v>
      </c>
      <c r="R133" s="46" t="str">
        <f t="shared" si="12"/>
        <v>C</v>
      </c>
      <c r="S133" s="44" t="str">
        <f t="shared" si="13"/>
        <v>2.25</v>
      </c>
      <c r="T133" s="34" t="str">
        <f t="shared" si="14"/>
        <v>Bellow Average</v>
      </c>
    </row>
    <row r="134" spans="1:20" x14ac:dyDescent="0.25">
      <c r="A134" s="1" t="s">
        <v>25</v>
      </c>
      <c r="B134" s="29" t="s">
        <v>46</v>
      </c>
      <c r="C134" s="28">
        <v>13.666666666666666</v>
      </c>
      <c r="D134" s="28">
        <v>2.6666666666666665</v>
      </c>
      <c r="E134" s="28">
        <v>3.6666666666666665</v>
      </c>
      <c r="F134" s="28">
        <f>(((SUM(First_Semester_Mathematics[[#This Row],[Quiz 1]:[Quiz 3]]))/SUM($C$63:$E$63))*$F$63)</f>
        <v>6.6666666666666661</v>
      </c>
      <c r="G134" s="27">
        <f>ROUND(First_Semester_Mathematics[[#This Row],[Quiz Average]],0)</f>
        <v>7</v>
      </c>
      <c r="H134" s="31">
        <v>3</v>
      </c>
      <c r="I134" s="31">
        <v>2</v>
      </c>
      <c r="J134" s="31">
        <v>2</v>
      </c>
      <c r="K134" s="2">
        <f>SUM(First_Semester_Mathematics[[#This Row],[Assignment]:[Attendance]])</f>
        <v>7</v>
      </c>
      <c r="L134" s="27">
        <f>ROUND(First_Semester_Mathematics[[#This Row],[Total out of APA]],0)</f>
        <v>7</v>
      </c>
      <c r="M134" s="28">
        <v>2</v>
      </c>
      <c r="N134" s="28">
        <v>13.5</v>
      </c>
      <c r="O134" s="28">
        <f>SUM(First_Semester_Mathematics[[#This Row],[Midterm]:[Final]])</f>
        <v>15.5</v>
      </c>
      <c r="P134" s="42">
        <f>ROUND(First_Semester_Mathematics[[#This Row],[Mid &amp; Final]],0)</f>
        <v>16</v>
      </c>
      <c r="Q134" s="42">
        <f t="shared" si="11"/>
        <v>30</v>
      </c>
      <c r="R134" s="46" t="str">
        <f t="shared" si="12"/>
        <v>F</v>
      </c>
      <c r="S134" s="44" t="str">
        <f t="shared" si="13"/>
        <v>0.00</v>
      </c>
      <c r="T134" s="34" t="str">
        <f t="shared" si="14"/>
        <v>Fail</v>
      </c>
    </row>
    <row r="135" spans="1:20" x14ac:dyDescent="0.25">
      <c r="A135" s="1" t="s">
        <v>26</v>
      </c>
      <c r="B135" s="29" t="s">
        <v>47</v>
      </c>
      <c r="C135" s="28">
        <v>13</v>
      </c>
      <c r="D135" s="28">
        <v>15</v>
      </c>
      <c r="E135" s="28">
        <v>6</v>
      </c>
      <c r="F135" s="28">
        <f>(((SUM(First_Semester_Mathematics[[#This Row],[Quiz 1]:[Quiz 3]]))/SUM($C$63:$E$63))*$F$63)</f>
        <v>11.333333333333332</v>
      </c>
      <c r="G135" s="27">
        <f>ROUND(First_Semester_Mathematics[[#This Row],[Quiz Average]],0)</f>
        <v>11</v>
      </c>
      <c r="H135" s="31">
        <v>4</v>
      </c>
      <c r="I135" s="31">
        <v>3</v>
      </c>
      <c r="J135" s="31">
        <v>6</v>
      </c>
      <c r="K135" s="2">
        <f>SUM(First_Semester_Mathematics[[#This Row],[Assignment]:[Attendance]])</f>
        <v>13</v>
      </c>
      <c r="L135" s="27">
        <f>ROUND(First_Semester_Mathematics[[#This Row],[Total out of APA]],0)</f>
        <v>13</v>
      </c>
      <c r="M135" s="28">
        <v>25</v>
      </c>
      <c r="N135" s="28">
        <v>6</v>
      </c>
      <c r="O135" s="28">
        <f>SUM(First_Semester_Mathematics[[#This Row],[Midterm]:[Final]])</f>
        <v>31</v>
      </c>
      <c r="P135" s="42">
        <f>ROUND(First_Semester_Mathematics[[#This Row],[Mid &amp; Final]],0)</f>
        <v>31</v>
      </c>
      <c r="Q135" s="42">
        <f t="shared" si="11"/>
        <v>55</v>
      </c>
      <c r="R135" s="46" t="str">
        <f t="shared" si="12"/>
        <v>B-</v>
      </c>
      <c r="S135" s="44" t="str">
        <f t="shared" si="13"/>
        <v>2.75</v>
      </c>
      <c r="T135" s="34" t="str">
        <f t="shared" si="14"/>
        <v>Above Average</v>
      </c>
    </row>
    <row r="136" spans="1:20" x14ac:dyDescent="0.25">
      <c r="A136" s="1" t="s">
        <v>50</v>
      </c>
      <c r="B136" s="29" t="s">
        <v>51</v>
      </c>
      <c r="C136" s="28">
        <v>15</v>
      </c>
      <c r="D136" s="28">
        <v>13.333333333333334</v>
      </c>
      <c r="E136" s="28">
        <v>4.666666666666667</v>
      </c>
      <c r="F136" s="28">
        <f>(((SUM(First_Semester_Mathematics[[#This Row],[Quiz 1]:[Quiz 3]]))/SUM($C$63:$E$63))*$F$63)</f>
        <v>11</v>
      </c>
      <c r="G136" s="27">
        <f>ROUND(First_Semester_Mathematics[[#This Row],[Quiz Average]],0)</f>
        <v>11</v>
      </c>
      <c r="H136" s="31">
        <v>2</v>
      </c>
      <c r="I136" s="31">
        <v>3</v>
      </c>
      <c r="J136" s="31">
        <v>3</v>
      </c>
      <c r="K136" s="2">
        <f>SUM(First_Semester_Mathematics[[#This Row],[Assignment]:[Attendance]])</f>
        <v>8</v>
      </c>
      <c r="L136" s="27">
        <f>ROUND(First_Semester_Mathematics[[#This Row],[Total out of APA]],0)</f>
        <v>8</v>
      </c>
      <c r="M136" s="28">
        <v>17.5</v>
      </c>
      <c r="N136" s="28">
        <v>35</v>
      </c>
      <c r="O136" s="28">
        <f>SUM(First_Semester_Mathematics[[#This Row],[Midterm]:[Final]])</f>
        <v>52.5</v>
      </c>
      <c r="P136" s="42">
        <f>ROUND(First_Semester_Mathematics[[#This Row],[Mid &amp; Final]],0)</f>
        <v>53</v>
      </c>
      <c r="Q136" s="42">
        <f t="shared" si="11"/>
        <v>72</v>
      </c>
      <c r="R136" s="46" t="str">
        <f t="shared" si="12"/>
        <v>A-</v>
      </c>
      <c r="S136" s="44" t="str">
        <f t="shared" si="13"/>
        <v>3.50</v>
      </c>
      <c r="T136" s="34" t="str">
        <f t="shared" si="14"/>
        <v>Very Good</v>
      </c>
    </row>
    <row r="137" spans="1:20" x14ac:dyDescent="0.25">
      <c r="A137" s="1" t="s">
        <v>53</v>
      </c>
      <c r="B137" s="29" t="s">
        <v>54</v>
      </c>
      <c r="C137" s="28">
        <v>2.6666666666666665</v>
      </c>
      <c r="D137" s="28">
        <v>9.6666666666666661</v>
      </c>
      <c r="E137" s="28">
        <v>7</v>
      </c>
      <c r="F137" s="28">
        <f>(((SUM(First_Semester_Mathematics[[#This Row],[Quiz 1]:[Quiz 3]]))/SUM($C$63:$E$63))*$F$63)</f>
        <v>6.4444444444444438</v>
      </c>
      <c r="G137" s="27">
        <f>ROUND(First_Semester_Mathematics[[#This Row],[Quiz Average]],0)</f>
        <v>6</v>
      </c>
      <c r="H137" s="31">
        <v>2</v>
      </c>
      <c r="I137" s="31">
        <v>6</v>
      </c>
      <c r="J137" s="31">
        <v>2</v>
      </c>
      <c r="K137" s="2">
        <f>SUM(First_Semester_Mathematics[[#This Row],[Assignment]:[Attendance]])</f>
        <v>10</v>
      </c>
      <c r="L137" s="27">
        <f>ROUND(First_Semester_Mathematics[[#This Row],[Total out of APA]],0)</f>
        <v>10</v>
      </c>
      <c r="M137" s="28">
        <v>7.5</v>
      </c>
      <c r="N137" s="28">
        <v>23</v>
      </c>
      <c r="O137" s="28">
        <f>SUM(First_Semester_Mathematics[[#This Row],[Midterm]:[Final]])</f>
        <v>30.5</v>
      </c>
      <c r="P137" s="42">
        <f>ROUND(First_Semester_Mathematics[[#This Row],[Mid &amp; Final]],0)</f>
        <v>31</v>
      </c>
      <c r="Q137" s="42">
        <f t="shared" si="11"/>
        <v>47</v>
      </c>
      <c r="R137" s="46" t="str">
        <f t="shared" si="12"/>
        <v>C</v>
      </c>
      <c r="S137" s="44" t="str">
        <f t="shared" si="13"/>
        <v>2.25</v>
      </c>
      <c r="T137" s="34" t="str">
        <f t="shared" si="14"/>
        <v>Bellow Average</v>
      </c>
    </row>
    <row r="138" spans="1:20" ht="15.75" thickBot="1" x14ac:dyDescent="0.3">
      <c r="A138" s="35" t="s">
        <v>60</v>
      </c>
      <c r="B138" s="36" t="s">
        <v>61</v>
      </c>
      <c r="C138" s="37">
        <v>3.6666666666666665</v>
      </c>
      <c r="D138" s="37">
        <v>9</v>
      </c>
      <c r="E138" s="37">
        <v>7.333333333333333</v>
      </c>
      <c r="F138" s="37">
        <f>(((SUM(First_Semester_Mathematics[[#This Row],[Quiz 1]:[Quiz 3]]))/SUM($C$63:$E$63))*$F$63)</f>
        <v>6.6666666666666661</v>
      </c>
      <c r="G138" s="38">
        <f>ROUND(First_Semester_Mathematics[[#This Row],[Quiz Average]],0)</f>
        <v>7</v>
      </c>
      <c r="H138" s="39">
        <v>3</v>
      </c>
      <c r="I138" s="39">
        <v>4</v>
      </c>
      <c r="J138" s="39">
        <v>3</v>
      </c>
      <c r="K138" s="40">
        <f>SUM(First_Semester_Mathematics[[#This Row],[Assignment]:[Attendance]])</f>
        <v>10</v>
      </c>
      <c r="L138" s="38">
        <f>ROUND(First_Semester_Mathematics[[#This Row],[Total out of APA]],0)</f>
        <v>10</v>
      </c>
      <c r="M138" s="37">
        <v>22</v>
      </c>
      <c r="N138" s="37">
        <v>7</v>
      </c>
      <c r="O138" s="37">
        <f>SUM(First_Semester_Mathematics[[#This Row],[Midterm]:[Final]])</f>
        <v>29</v>
      </c>
      <c r="P138" s="43">
        <f>ROUND(First_Semester_Mathematics[[#This Row],[Mid &amp; Final]],0)</f>
        <v>29</v>
      </c>
      <c r="Q138" s="59">
        <f t="shared" si="11"/>
        <v>46</v>
      </c>
      <c r="R138" s="47" t="str">
        <f t="shared" si="12"/>
        <v>C</v>
      </c>
      <c r="S138" s="45" t="str">
        <f t="shared" si="13"/>
        <v>2.25</v>
      </c>
      <c r="T138" s="41" t="str">
        <f t="shared" si="14"/>
        <v>Bellow Average</v>
      </c>
    </row>
    <row r="139" spans="1:20" x14ac:dyDescent="0.25">
      <c r="A139" s="68"/>
      <c r="B139" s="68"/>
      <c r="C139" s="30"/>
      <c r="D139" s="30"/>
      <c r="E139" s="30"/>
      <c r="F139" s="30"/>
      <c r="G139" s="69"/>
      <c r="H139" s="71"/>
      <c r="I139" s="71"/>
      <c r="J139" s="71"/>
      <c r="K139" s="69"/>
      <c r="L139" s="69"/>
      <c r="M139" s="30"/>
      <c r="N139" s="30"/>
      <c r="O139" s="30"/>
      <c r="P139" s="70"/>
      <c r="Q139" s="70"/>
      <c r="R139" s="30"/>
      <c r="S139" s="30"/>
      <c r="T139" s="30"/>
    </row>
    <row r="140" spans="1:20" x14ac:dyDescent="0.25">
      <c r="A140" s="68"/>
      <c r="B140" s="68"/>
      <c r="C140" s="30"/>
      <c r="D140" s="30"/>
      <c r="E140" s="30"/>
      <c r="F140" s="30"/>
      <c r="G140" s="69"/>
      <c r="H140" s="71"/>
      <c r="I140" s="71"/>
      <c r="J140" s="71"/>
      <c r="K140" s="69"/>
      <c r="L140" s="69"/>
      <c r="M140" s="30"/>
      <c r="N140" s="30"/>
      <c r="O140" s="30"/>
      <c r="P140" s="70"/>
      <c r="Q140" s="70"/>
      <c r="R140" s="30"/>
      <c r="S140" s="30"/>
      <c r="T140" s="30"/>
    </row>
    <row r="141" spans="1:20" x14ac:dyDescent="0.25">
      <c r="A141" s="68"/>
      <c r="B141" s="68"/>
      <c r="C141" s="30"/>
      <c r="D141" s="30"/>
      <c r="E141" s="30"/>
      <c r="F141" s="30"/>
      <c r="G141" s="69"/>
      <c r="H141" s="71"/>
      <c r="I141" s="71"/>
      <c r="J141" s="71"/>
      <c r="K141" s="69"/>
      <c r="L141" s="69"/>
      <c r="M141" s="30"/>
      <c r="N141" s="30"/>
      <c r="O141" s="30"/>
      <c r="P141" s="70"/>
      <c r="Q141" s="70"/>
      <c r="R141" s="30"/>
      <c r="S141" s="30"/>
      <c r="T141" s="30"/>
    </row>
    <row r="142" spans="1:20" x14ac:dyDescent="0.25">
      <c r="A142" s="68"/>
      <c r="B142" s="68"/>
      <c r="C142" s="30"/>
      <c r="D142" s="30"/>
      <c r="E142" s="30"/>
      <c r="F142" s="30"/>
      <c r="G142" s="69"/>
      <c r="H142" s="71"/>
      <c r="I142" s="71"/>
      <c r="J142" s="71"/>
      <c r="K142" s="69"/>
      <c r="L142" s="69"/>
      <c r="M142" s="30"/>
      <c r="N142" s="30"/>
      <c r="O142" s="30"/>
      <c r="P142" s="70"/>
      <c r="Q142" s="70"/>
      <c r="R142" s="30"/>
      <c r="S142" s="30"/>
      <c r="T142" s="30"/>
    </row>
    <row r="143" spans="1:20" x14ac:dyDescent="0.25">
      <c r="A143" s="68"/>
      <c r="B143" s="68"/>
      <c r="C143" s="30"/>
      <c r="D143" s="30"/>
      <c r="E143" s="30"/>
      <c r="F143" s="30"/>
      <c r="G143" s="69"/>
      <c r="H143" s="71"/>
      <c r="I143" s="71"/>
      <c r="J143" s="71"/>
      <c r="K143" s="69"/>
      <c r="L143" s="69"/>
      <c r="M143" s="30"/>
      <c r="N143" s="30"/>
      <c r="O143" s="30"/>
      <c r="P143" s="70"/>
      <c r="Q143" s="70"/>
      <c r="R143" s="30"/>
      <c r="S143" s="30"/>
      <c r="T143" s="30"/>
    </row>
    <row r="144" spans="1:20" x14ac:dyDescent="0.25">
      <c r="A144" s="68"/>
      <c r="B144" s="68"/>
      <c r="C144" s="30"/>
      <c r="D144" s="30"/>
      <c r="E144" s="30"/>
      <c r="F144" s="30"/>
      <c r="G144" s="69"/>
      <c r="H144" s="71"/>
      <c r="I144" s="71"/>
      <c r="J144" s="71"/>
      <c r="K144" s="69"/>
      <c r="L144" s="69"/>
      <c r="M144" s="30"/>
      <c r="N144" s="30"/>
      <c r="O144" s="30"/>
      <c r="P144" s="70"/>
      <c r="Q144" s="70"/>
      <c r="R144" s="30"/>
      <c r="S144" s="30"/>
      <c r="T144" s="30"/>
    </row>
    <row r="154" spans="1:20" ht="27" customHeight="1" x14ac:dyDescent="0.25">
      <c r="A154" s="293" t="s">
        <v>163</v>
      </c>
      <c r="B154" s="293"/>
      <c r="C154" s="56" t="s">
        <v>165</v>
      </c>
      <c r="D154" s="56"/>
      <c r="E154" s="56"/>
      <c r="F154" s="294" t="s">
        <v>156</v>
      </c>
      <c r="G154" s="294"/>
      <c r="H154" s="294"/>
      <c r="I154" s="294"/>
      <c r="J154" s="294"/>
      <c r="K154" s="294"/>
      <c r="L154" s="294"/>
      <c r="M154" s="56"/>
      <c r="N154" s="56"/>
      <c r="O154" s="56"/>
      <c r="P154" s="56"/>
      <c r="Q154" s="56"/>
      <c r="R154" s="56"/>
      <c r="S154" s="64" t="s">
        <v>167</v>
      </c>
      <c r="T154" s="65">
        <v>44287</v>
      </c>
    </row>
    <row r="155" spans="1:20" ht="27" customHeight="1" thickBot="1" x14ac:dyDescent="0.3">
      <c r="A155" s="296" t="s">
        <v>164</v>
      </c>
      <c r="B155" s="296"/>
      <c r="C155" s="63" t="s">
        <v>166</v>
      </c>
      <c r="D155" s="63"/>
      <c r="E155" s="62"/>
      <c r="F155" s="295"/>
      <c r="G155" s="295"/>
      <c r="H155" s="295"/>
      <c r="I155" s="295"/>
      <c r="J155" s="295"/>
      <c r="K155" s="295"/>
      <c r="L155" s="295"/>
      <c r="M155" s="32"/>
      <c r="N155" s="32"/>
      <c r="O155" s="32"/>
      <c r="P155" s="32"/>
      <c r="Q155" s="32"/>
      <c r="R155" s="32"/>
      <c r="S155" s="61" t="s">
        <v>168</v>
      </c>
      <c r="T155" s="66">
        <v>0.91666666666666663</v>
      </c>
    </row>
    <row r="156" spans="1:20" x14ac:dyDescent="0.25">
      <c r="A156" s="58" t="s">
        <v>0</v>
      </c>
      <c r="B156" s="57" t="s">
        <v>20</v>
      </c>
      <c r="C156" s="2" t="s">
        <v>132</v>
      </c>
      <c r="D156" s="2" t="s">
        <v>133</v>
      </c>
      <c r="E156" s="2" t="s">
        <v>134</v>
      </c>
      <c r="F156" s="98" t="s">
        <v>135</v>
      </c>
      <c r="G156" s="27" t="s">
        <v>136</v>
      </c>
      <c r="H156" s="2" t="s">
        <v>137</v>
      </c>
      <c r="I156" s="2" t="s">
        <v>138</v>
      </c>
      <c r="J156" s="2" t="s">
        <v>139</v>
      </c>
      <c r="K156" s="103" t="s">
        <v>140</v>
      </c>
      <c r="L156" s="60" t="s">
        <v>141</v>
      </c>
      <c r="M156" s="2" t="s">
        <v>143</v>
      </c>
      <c r="N156" s="20" t="s">
        <v>144</v>
      </c>
      <c r="O156" s="103" t="s">
        <v>145</v>
      </c>
      <c r="P156" s="33" t="s">
        <v>146</v>
      </c>
      <c r="Q156" s="48" t="s">
        <v>147</v>
      </c>
      <c r="R156" s="48" t="s">
        <v>148</v>
      </c>
      <c r="S156" s="48" t="s">
        <v>149</v>
      </c>
      <c r="T156" s="60" t="s">
        <v>150</v>
      </c>
    </row>
    <row r="157" spans="1:20" x14ac:dyDescent="0.25">
      <c r="A157" s="15"/>
      <c r="B157" s="49" t="s">
        <v>142</v>
      </c>
      <c r="C157" s="50">
        <v>15</v>
      </c>
      <c r="D157" s="50">
        <v>15</v>
      </c>
      <c r="E157" s="50">
        <v>15</v>
      </c>
      <c r="F157" s="51">
        <v>15</v>
      </c>
      <c r="G157" s="52">
        <v>15</v>
      </c>
      <c r="H157" s="50">
        <v>5</v>
      </c>
      <c r="I157" s="50">
        <v>8</v>
      </c>
      <c r="J157" s="50">
        <v>7</v>
      </c>
      <c r="K157" s="51">
        <v>20</v>
      </c>
      <c r="L157" s="52">
        <v>20</v>
      </c>
      <c r="M157" s="50">
        <v>25</v>
      </c>
      <c r="N157" s="50">
        <v>40</v>
      </c>
      <c r="O157" s="53">
        <v>65</v>
      </c>
      <c r="P157" s="54">
        <v>65</v>
      </c>
      <c r="Q157" s="55">
        <v>100</v>
      </c>
      <c r="R157" s="55" t="s">
        <v>151</v>
      </c>
      <c r="S157" s="54" t="s">
        <v>152</v>
      </c>
      <c r="T157" s="54" t="s">
        <v>153</v>
      </c>
    </row>
    <row r="158" spans="1:20" x14ac:dyDescent="0.25">
      <c r="A158" s="1" t="s">
        <v>57</v>
      </c>
      <c r="B158" s="29" t="s">
        <v>58</v>
      </c>
      <c r="C158" s="28">
        <v>10</v>
      </c>
      <c r="D158" s="28">
        <v>8.3333333333333339</v>
      </c>
      <c r="E158" s="28">
        <v>7.333333333333333</v>
      </c>
      <c r="F158" s="28">
        <f>(((SUM(First_Semester_Computer_Fundamentals[[#This Row],[Quiz 1]:[Quiz 3]]))/SUM($C$63:$E$63))*$F$63)</f>
        <v>8.5555555555555571</v>
      </c>
      <c r="G158" s="27">
        <f>ROUND(First_Semester_Computer_Fundamentals[[#This Row],[Quiz Average]],0)</f>
        <v>9</v>
      </c>
      <c r="H158" s="31">
        <v>2</v>
      </c>
      <c r="I158" s="31">
        <v>6</v>
      </c>
      <c r="J158" s="31">
        <v>4</v>
      </c>
      <c r="K158" s="2">
        <f>SUM(First_Semester_Computer_Fundamentals[[#This Row],[Assignment]:[Attendance]])</f>
        <v>12</v>
      </c>
      <c r="L158" s="27">
        <f>ROUND(First_Semester_Computer_Fundamentals[[#This Row],[Total out of APA]],0)</f>
        <v>12</v>
      </c>
      <c r="M158" s="28">
        <v>11.5</v>
      </c>
      <c r="N158" s="28">
        <v>1.5</v>
      </c>
      <c r="O158" s="28">
        <f>SUM(First_Semester_Computer_Fundamentals[[#This Row],[Midterm]:[Final]])</f>
        <v>13</v>
      </c>
      <c r="P158" s="42">
        <f>ROUND(First_Semester_Computer_Fundamentals[[#This Row],[Mid &amp; Final]],0)</f>
        <v>13</v>
      </c>
      <c r="Q158" s="42">
        <f>SUM(G158,L158,P158)</f>
        <v>34</v>
      </c>
      <c r="R158" s="46" t="str">
        <f>IF(Q158&gt;79,"A+",IF(Q158&gt;74,"A",IF(Q158&gt;69,"A-",IF(Q158&gt;64,"B+",IF(Q158&gt;59,"B",IF(Q158&gt;54,"B-",IF(Q158&gt;49,"C+",IF(Q158&gt;44,"C",IF(Q158&gt;39,"D",IF(Q158&gt;0,"F","N/A"))))))))))</f>
        <v>F</v>
      </c>
      <c r="S158" s="44" t="str">
        <f>IF(Q158&gt;79,"4.00",IF(Q158&gt;74,"3.75",IF(Q158&gt;69,"3.50",IF(Q158&gt;64,"3.25",IF(Q158&gt;59,"3.00",IF(Q158&gt;54,"2.75",IF(Q158&gt;49,"2.50",IF(Q158&gt;44,"2.25",IF(Q158&gt;39,"2.00",IF(Q158&gt;0,"0.00","N/A"))))))))))</f>
        <v>0.00</v>
      </c>
      <c r="T158" s="34" t="str">
        <f>IF(Q158&gt;79,"Outstanding",IF(Q158&gt;74,"Excellent",IF(Q158&gt;69,"Very Good",IF(Q158&gt;64,"Good",IF(Q158&gt;59,"Satisfactory",IF(Q158&gt;54,"Above Average",IF(Q158&gt;49,"Average",IF(Q158&gt;44,"Bellow Average",IF(Q158&gt;39,"Pass",IF(Q158&gt;0,"Fail","N/A"))))))))))</f>
        <v>Fail</v>
      </c>
    </row>
    <row r="159" spans="1:20" x14ac:dyDescent="0.25">
      <c r="A159" s="1" t="s">
        <v>56</v>
      </c>
      <c r="B159" s="29" t="s">
        <v>59</v>
      </c>
      <c r="C159" s="28">
        <v>14.666666666666666</v>
      </c>
      <c r="D159" s="28">
        <v>2.3333333333333335</v>
      </c>
      <c r="E159" s="28">
        <v>5.666666666666667</v>
      </c>
      <c r="F159" s="28">
        <f>(((SUM(First_Semester_Computer_Fundamentals[[#This Row],[Quiz 1]:[Quiz 3]]))/SUM($C$63:$E$63))*$F$63)</f>
        <v>7.5555555555555562</v>
      </c>
      <c r="G159" s="27">
        <f>ROUND(First_Semester_Computer_Fundamentals[[#This Row],[Quiz Average]],0)</f>
        <v>8</v>
      </c>
      <c r="H159" s="31">
        <v>5</v>
      </c>
      <c r="I159" s="31">
        <v>6</v>
      </c>
      <c r="J159" s="31">
        <v>5</v>
      </c>
      <c r="K159" s="2">
        <f>SUM(First_Semester_Computer_Fundamentals[[#This Row],[Assignment]:[Attendance]])</f>
        <v>16</v>
      </c>
      <c r="L159" s="27">
        <f>ROUND(First_Semester_Computer_Fundamentals[[#This Row],[Total out of APA]],0)</f>
        <v>16</v>
      </c>
      <c r="M159" s="28">
        <v>7.5</v>
      </c>
      <c r="N159" s="28">
        <v>29.5</v>
      </c>
      <c r="O159" s="28">
        <f>SUM(First_Semester_Computer_Fundamentals[[#This Row],[Midterm]:[Final]])</f>
        <v>37</v>
      </c>
      <c r="P159" s="42">
        <f>ROUND(First_Semester_Computer_Fundamentals[[#This Row],[Mid &amp; Final]],0)</f>
        <v>37</v>
      </c>
      <c r="Q159" s="42">
        <f t="shared" ref="Q159:Q185" si="15">SUM(G159,L159,P159)</f>
        <v>61</v>
      </c>
      <c r="R159" s="46" t="str">
        <f t="shared" ref="R159:R185" si="16">IF(Q159&gt;79,"A+",IF(Q159&gt;74,"A",IF(Q159&gt;69,"A-",IF(Q159&gt;64,"B+",IF(Q159&gt;59,"B",IF(Q159&gt;54,"B-",IF(Q159&gt;49,"C+",IF(Q159&gt;44,"C",IF(Q159&gt;39,"D",IF(Q159&gt;0,"F","N/A"))))))))))</f>
        <v>B</v>
      </c>
      <c r="S159" s="44" t="str">
        <f t="shared" ref="S159:S185" si="17">IF(Q159&gt;79,"4.00",IF(Q159&gt;74,"3.75",IF(Q159&gt;69,"3.50",IF(Q159&gt;64,"3.25",IF(Q159&gt;59,"3.00",IF(Q159&gt;54,"2.75",IF(Q159&gt;49,"2.50",IF(Q159&gt;44,"2.25",IF(Q159&gt;39,"2.00",IF(Q159&gt;0,"0.00","N/A"))))))))))</f>
        <v>3.00</v>
      </c>
      <c r="T159" s="34" t="str">
        <f t="shared" ref="T159:T185" si="18">IF(Q159&gt;79,"Outstanding",IF(Q159&gt;74,"Excellent",IF(Q159&gt;69,"Very Good",IF(Q159&gt;64,"Good",IF(Q159&gt;59,"Satisfactory",IF(Q159&gt;54,"Above Average",IF(Q159&gt;49,"Average",IF(Q159&gt;44,"Bellow Average",IF(Q159&gt;39,"Pass",IF(Q159&gt;0,"Fail","N/A"))))))))))</f>
        <v>Satisfactory</v>
      </c>
    </row>
    <row r="160" spans="1:20" x14ac:dyDescent="0.25">
      <c r="A160" s="1" t="s">
        <v>1</v>
      </c>
      <c r="B160" s="29" t="s">
        <v>27</v>
      </c>
      <c r="C160" s="28">
        <v>7</v>
      </c>
      <c r="D160" s="28">
        <v>5.333333333333333</v>
      </c>
      <c r="E160" s="28">
        <v>7.666666666666667</v>
      </c>
      <c r="F160" s="28">
        <f>(((SUM(First_Semester_Computer_Fundamentals[[#This Row],[Quiz 1]:[Quiz 3]]))/SUM($C$63:$E$63))*$F$63)</f>
        <v>6.6666666666666661</v>
      </c>
      <c r="G160" s="27">
        <f>ROUND(First_Semester_Computer_Fundamentals[[#This Row],[Quiz Average]],0)</f>
        <v>7</v>
      </c>
      <c r="H160" s="31">
        <v>2</v>
      </c>
      <c r="I160" s="31">
        <v>8</v>
      </c>
      <c r="J160" s="31">
        <v>6</v>
      </c>
      <c r="K160" s="2">
        <f>SUM(First_Semester_Computer_Fundamentals[[#This Row],[Assignment]:[Attendance]])</f>
        <v>16</v>
      </c>
      <c r="L160" s="27">
        <f>ROUND(First_Semester_Computer_Fundamentals[[#This Row],[Total out of APA]],0)</f>
        <v>16</v>
      </c>
      <c r="M160" s="28">
        <v>17</v>
      </c>
      <c r="N160" s="28">
        <v>14</v>
      </c>
      <c r="O160" s="28">
        <f>SUM(First_Semester_Computer_Fundamentals[[#This Row],[Midterm]:[Final]])</f>
        <v>31</v>
      </c>
      <c r="P160" s="42">
        <f>ROUND(First_Semester_Computer_Fundamentals[[#This Row],[Mid &amp; Final]],0)</f>
        <v>31</v>
      </c>
      <c r="Q160" s="42">
        <f t="shared" si="15"/>
        <v>54</v>
      </c>
      <c r="R160" s="46" t="str">
        <f t="shared" si="16"/>
        <v>C+</v>
      </c>
      <c r="S160" s="44" t="str">
        <f t="shared" si="17"/>
        <v>2.50</v>
      </c>
      <c r="T160" s="34" t="str">
        <f t="shared" si="18"/>
        <v>Average</v>
      </c>
    </row>
    <row r="161" spans="1:21" x14ac:dyDescent="0.25">
      <c r="A161" s="1" t="s">
        <v>2</v>
      </c>
      <c r="B161" s="29" t="s">
        <v>28</v>
      </c>
      <c r="C161" s="28">
        <v>5.666666666666667</v>
      </c>
      <c r="D161" s="28">
        <v>14.666666666666666</v>
      </c>
      <c r="E161" s="28">
        <v>5.333333333333333</v>
      </c>
      <c r="F161" s="28">
        <f>(((SUM(First_Semester_Computer_Fundamentals[[#This Row],[Quiz 1]:[Quiz 3]]))/SUM($C$63:$E$63))*$F$63)</f>
        <v>8.5555555555555554</v>
      </c>
      <c r="G161" s="27">
        <f>ROUND(First_Semester_Computer_Fundamentals[[#This Row],[Quiz Average]],0)</f>
        <v>9</v>
      </c>
      <c r="H161" s="31">
        <v>4</v>
      </c>
      <c r="I161" s="31">
        <v>7</v>
      </c>
      <c r="J161" s="31">
        <v>4</v>
      </c>
      <c r="K161" s="2">
        <f>SUM(First_Semester_Computer_Fundamentals[[#This Row],[Assignment]:[Attendance]])</f>
        <v>15</v>
      </c>
      <c r="L161" s="27">
        <f>ROUND(First_Semester_Computer_Fundamentals[[#This Row],[Total out of APA]],0)</f>
        <v>15</v>
      </c>
      <c r="M161" s="28">
        <v>8.5</v>
      </c>
      <c r="N161" s="28">
        <v>36</v>
      </c>
      <c r="O161" s="28">
        <f>SUM(First_Semester_Computer_Fundamentals[[#This Row],[Midterm]:[Final]])</f>
        <v>44.5</v>
      </c>
      <c r="P161" s="42">
        <f>ROUND(First_Semester_Computer_Fundamentals[[#This Row],[Mid &amp; Final]],0)</f>
        <v>45</v>
      </c>
      <c r="Q161" s="42">
        <f t="shared" si="15"/>
        <v>69</v>
      </c>
      <c r="R161" s="46" t="str">
        <f t="shared" si="16"/>
        <v>B+</v>
      </c>
      <c r="S161" s="44" t="str">
        <f t="shared" si="17"/>
        <v>3.25</v>
      </c>
      <c r="T161" s="34" t="str">
        <f t="shared" si="18"/>
        <v>Good</v>
      </c>
    </row>
    <row r="162" spans="1:21" x14ac:dyDescent="0.25">
      <c r="A162" s="1" t="s">
        <v>3</v>
      </c>
      <c r="B162" s="29" t="s">
        <v>29</v>
      </c>
      <c r="C162" s="28">
        <v>14.333333333333334</v>
      </c>
      <c r="D162" s="28">
        <v>13.666666666666666</v>
      </c>
      <c r="E162" s="28">
        <v>5.666666666666667</v>
      </c>
      <c r="F162" s="28">
        <f>(((SUM(First_Semester_Computer_Fundamentals[[#This Row],[Quiz 1]:[Quiz 3]]))/SUM($C$63:$E$63))*$F$63)</f>
        <v>11.222222222222221</v>
      </c>
      <c r="G162" s="27">
        <f>ROUND(First_Semester_Computer_Fundamentals[[#This Row],[Quiz Average]],0)</f>
        <v>11</v>
      </c>
      <c r="H162" s="31">
        <v>2</v>
      </c>
      <c r="I162" s="31">
        <v>8</v>
      </c>
      <c r="J162" s="31">
        <v>4</v>
      </c>
      <c r="K162" s="2">
        <f>SUM(First_Semester_Computer_Fundamentals[[#This Row],[Assignment]:[Attendance]])</f>
        <v>14</v>
      </c>
      <c r="L162" s="27">
        <f>ROUND(First_Semester_Computer_Fundamentals[[#This Row],[Total out of APA]],0)</f>
        <v>14</v>
      </c>
      <c r="M162" s="28">
        <v>15</v>
      </c>
      <c r="N162" s="28">
        <v>9</v>
      </c>
      <c r="O162" s="28">
        <f>SUM(First_Semester_Computer_Fundamentals[[#This Row],[Midterm]:[Final]])</f>
        <v>24</v>
      </c>
      <c r="P162" s="42">
        <f>ROUND(First_Semester_Computer_Fundamentals[[#This Row],[Mid &amp; Final]],0)</f>
        <v>24</v>
      </c>
      <c r="Q162" s="42">
        <f t="shared" si="15"/>
        <v>49</v>
      </c>
      <c r="R162" s="46" t="str">
        <f t="shared" si="16"/>
        <v>C</v>
      </c>
      <c r="S162" s="44" t="str">
        <f t="shared" si="17"/>
        <v>2.25</v>
      </c>
      <c r="T162" s="34" t="str">
        <f t="shared" si="18"/>
        <v>Bellow Average</v>
      </c>
    </row>
    <row r="163" spans="1:21" x14ac:dyDescent="0.25">
      <c r="A163" s="1" t="s">
        <v>4</v>
      </c>
      <c r="B163" s="29" t="s">
        <v>30</v>
      </c>
      <c r="C163" s="28">
        <v>14.333333333333334</v>
      </c>
      <c r="D163" s="28">
        <v>8.6666666666666661</v>
      </c>
      <c r="E163" s="28">
        <v>10.333333333333334</v>
      </c>
      <c r="F163" s="28">
        <f>(((SUM(First_Semester_Computer_Fundamentals[[#This Row],[Quiz 1]:[Quiz 3]]))/SUM($C$63:$E$63))*$F$63)</f>
        <v>11.111111111111112</v>
      </c>
      <c r="G163" s="27">
        <f>ROUND(First_Semester_Computer_Fundamentals[[#This Row],[Quiz Average]],0)</f>
        <v>11</v>
      </c>
      <c r="H163" s="31">
        <v>5</v>
      </c>
      <c r="I163" s="31">
        <v>8</v>
      </c>
      <c r="J163" s="31">
        <v>3</v>
      </c>
      <c r="K163" s="2">
        <f>SUM(First_Semester_Computer_Fundamentals[[#This Row],[Assignment]:[Attendance]])</f>
        <v>16</v>
      </c>
      <c r="L163" s="27">
        <f>ROUND(First_Semester_Computer_Fundamentals[[#This Row],[Total out of APA]],0)</f>
        <v>16</v>
      </c>
      <c r="M163" s="28">
        <v>24</v>
      </c>
      <c r="N163" s="28">
        <v>13.5</v>
      </c>
      <c r="O163" s="28">
        <f>SUM(First_Semester_Computer_Fundamentals[[#This Row],[Midterm]:[Final]])</f>
        <v>37.5</v>
      </c>
      <c r="P163" s="42">
        <f>ROUND(First_Semester_Computer_Fundamentals[[#This Row],[Mid &amp; Final]],0)</f>
        <v>38</v>
      </c>
      <c r="Q163" s="42">
        <f t="shared" si="15"/>
        <v>65</v>
      </c>
      <c r="R163" s="46" t="str">
        <f t="shared" si="16"/>
        <v>B+</v>
      </c>
      <c r="S163" s="44" t="str">
        <f t="shared" si="17"/>
        <v>3.25</v>
      </c>
      <c r="T163" s="34" t="str">
        <f t="shared" si="18"/>
        <v>Good</v>
      </c>
    </row>
    <row r="164" spans="1:21" x14ac:dyDescent="0.25">
      <c r="A164" s="210" t="s">
        <v>5</v>
      </c>
      <c r="B164" s="211" t="s">
        <v>31</v>
      </c>
      <c r="C164" s="209"/>
      <c r="D164" s="209"/>
      <c r="E164" s="209"/>
      <c r="F164" s="209"/>
      <c r="G164" s="212"/>
      <c r="H164" s="213"/>
      <c r="I164" s="213"/>
      <c r="J164" s="213"/>
      <c r="K164" s="208"/>
      <c r="L164" s="212"/>
      <c r="M164" s="209"/>
      <c r="N164" s="209"/>
      <c r="O164" s="209"/>
      <c r="P164" s="214"/>
      <c r="Q164" s="214"/>
      <c r="R164" s="215"/>
      <c r="S164" s="216"/>
      <c r="T164" s="217"/>
      <c r="U164" s="21"/>
    </row>
    <row r="165" spans="1:21" x14ac:dyDescent="0.25">
      <c r="A165" s="1" t="s">
        <v>6</v>
      </c>
      <c r="B165" s="29" t="s">
        <v>32</v>
      </c>
      <c r="C165" s="28">
        <v>14</v>
      </c>
      <c r="D165" s="28">
        <v>9.6666666666666661</v>
      </c>
      <c r="E165" s="28">
        <v>10</v>
      </c>
      <c r="F165" s="28">
        <f>(((SUM(First_Semester_Computer_Fundamentals[[#This Row],[Quiz 1]:[Quiz 3]]))/SUM($C$63:$E$63))*$F$63)</f>
        <v>11.222222222222221</v>
      </c>
      <c r="G165" s="27">
        <f>ROUND(First_Semester_Computer_Fundamentals[[#This Row],[Quiz Average]],0)</f>
        <v>11</v>
      </c>
      <c r="H165" s="31">
        <v>5</v>
      </c>
      <c r="I165" s="31">
        <v>7</v>
      </c>
      <c r="J165" s="31">
        <v>2</v>
      </c>
      <c r="K165" s="2">
        <f>SUM(First_Semester_Computer_Fundamentals[[#This Row],[Assignment]:[Attendance]])</f>
        <v>14</v>
      </c>
      <c r="L165" s="27">
        <f>ROUND(First_Semester_Computer_Fundamentals[[#This Row],[Total out of APA]],0)</f>
        <v>14</v>
      </c>
      <c r="M165" s="28">
        <v>14</v>
      </c>
      <c r="N165" s="28">
        <v>9</v>
      </c>
      <c r="O165" s="28">
        <f>SUM(First_Semester_Computer_Fundamentals[[#This Row],[Midterm]:[Final]])</f>
        <v>23</v>
      </c>
      <c r="P165" s="42">
        <f>ROUND(First_Semester_Computer_Fundamentals[[#This Row],[Mid &amp; Final]],0)</f>
        <v>23</v>
      </c>
      <c r="Q165" s="42">
        <f t="shared" si="15"/>
        <v>48</v>
      </c>
      <c r="R165" s="46" t="str">
        <f t="shared" si="16"/>
        <v>C</v>
      </c>
      <c r="S165" s="44" t="str">
        <f t="shared" si="17"/>
        <v>2.25</v>
      </c>
      <c r="T165" s="34" t="str">
        <f t="shared" si="18"/>
        <v>Bellow Average</v>
      </c>
      <c r="U165" s="21"/>
    </row>
    <row r="166" spans="1:21" x14ac:dyDescent="0.25">
      <c r="A166" s="1" t="s">
        <v>7</v>
      </c>
      <c r="B166" s="29" t="s">
        <v>33</v>
      </c>
      <c r="C166" s="28">
        <v>7</v>
      </c>
      <c r="D166" s="28">
        <v>14.333333333333334</v>
      </c>
      <c r="E166" s="28">
        <v>8.3333333333333339</v>
      </c>
      <c r="F166" s="28">
        <f>(((SUM(First_Semester_Computer_Fundamentals[[#This Row],[Quiz 1]:[Quiz 3]]))/SUM($C$63:$E$63))*$F$63)</f>
        <v>9.8888888888888893</v>
      </c>
      <c r="G166" s="27">
        <f>ROUND(First_Semester_Computer_Fundamentals[[#This Row],[Quiz Average]],0)</f>
        <v>10</v>
      </c>
      <c r="H166" s="31">
        <v>3</v>
      </c>
      <c r="I166" s="31">
        <v>7</v>
      </c>
      <c r="J166" s="31">
        <v>7</v>
      </c>
      <c r="K166" s="2">
        <f>SUM(First_Semester_Computer_Fundamentals[[#This Row],[Assignment]:[Attendance]])</f>
        <v>17</v>
      </c>
      <c r="L166" s="27">
        <f>ROUND(First_Semester_Computer_Fundamentals[[#This Row],[Total out of APA]],0)</f>
        <v>17</v>
      </c>
      <c r="M166" s="28">
        <v>6</v>
      </c>
      <c r="N166" s="28">
        <v>33.5</v>
      </c>
      <c r="O166" s="28">
        <f>SUM(First_Semester_Computer_Fundamentals[[#This Row],[Midterm]:[Final]])</f>
        <v>39.5</v>
      </c>
      <c r="P166" s="42">
        <f>ROUND(First_Semester_Computer_Fundamentals[[#This Row],[Mid &amp; Final]],0)</f>
        <v>40</v>
      </c>
      <c r="Q166" s="42">
        <f t="shared" si="15"/>
        <v>67</v>
      </c>
      <c r="R166" s="46" t="str">
        <f t="shared" si="16"/>
        <v>B+</v>
      </c>
      <c r="S166" s="44" t="str">
        <f t="shared" si="17"/>
        <v>3.25</v>
      </c>
      <c r="T166" s="34" t="str">
        <f t="shared" si="18"/>
        <v>Good</v>
      </c>
      <c r="U166" s="21"/>
    </row>
    <row r="167" spans="1:21" x14ac:dyDescent="0.25">
      <c r="A167" s="1" t="s">
        <v>8</v>
      </c>
      <c r="B167" s="29" t="s">
        <v>34</v>
      </c>
      <c r="C167" s="28">
        <v>11</v>
      </c>
      <c r="D167" s="28">
        <v>2.6666666666666665</v>
      </c>
      <c r="E167" s="28">
        <v>1.3333333333333333</v>
      </c>
      <c r="F167" s="28">
        <f>(((SUM(First_Semester_Computer_Fundamentals[[#This Row],[Quiz 1]:[Quiz 3]]))/SUM($C$63:$E$63))*$F$63)</f>
        <v>5</v>
      </c>
      <c r="G167" s="27">
        <f>ROUND(First_Semester_Computer_Fundamentals[[#This Row],[Quiz Average]],0)</f>
        <v>5</v>
      </c>
      <c r="H167" s="31">
        <v>2</v>
      </c>
      <c r="I167" s="31">
        <v>5</v>
      </c>
      <c r="J167" s="31">
        <v>5</v>
      </c>
      <c r="K167" s="2">
        <f>SUM(First_Semester_Computer_Fundamentals[[#This Row],[Assignment]:[Attendance]])</f>
        <v>12</v>
      </c>
      <c r="L167" s="27">
        <f>ROUND(First_Semester_Computer_Fundamentals[[#This Row],[Total out of APA]],0)</f>
        <v>12</v>
      </c>
      <c r="M167" s="28">
        <v>22</v>
      </c>
      <c r="N167" s="28">
        <v>23.5</v>
      </c>
      <c r="O167" s="28">
        <f>SUM(First_Semester_Computer_Fundamentals[[#This Row],[Midterm]:[Final]])</f>
        <v>45.5</v>
      </c>
      <c r="P167" s="42">
        <f>ROUND(First_Semester_Computer_Fundamentals[[#This Row],[Mid &amp; Final]],0)</f>
        <v>46</v>
      </c>
      <c r="Q167" s="42">
        <f t="shared" si="15"/>
        <v>63</v>
      </c>
      <c r="R167" s="46" t="str">
        <f t="shared" si="16"/>
        <v>B</v>
      </c>
      <c r="S167" s="44" t="str">
        <f t="shared" si="17"/>
        <v>3.00</v>
      </c>
      <c r="T167" s="34" t="str">
        <f t="shared" si="18"/>
        <v>Satisfactory</v>
      </c>
      <c r="U167" s="21"/>
    </row>
    <row r="168" spans="1:21" x14ac:dyDescent="0.25">
      <c r="A168" s="1" t="s">
        <v>9</v>
      </c>
      <c r="B168" s="29" t="s">
        <v>35</v>
      </c>
      <c r="C168" s="28">
        <v>5.333333333333333</v>
      </c>
      <c r="D168" s="28">
        <v>8.3333333333333339</v>
      </c>
      <c r="E168" s="28">
        <v>9</v>
      </c>
      <c r="F168" s="28">
        <f>(((SUM(First_Semester_Computer_Fundamentals[[#This Row],[Quiz 1]:[Quiz 3]]))/SUM($C$63:$E$63))*$F$63)</f>
        <v>7.5555555555555562</v>
      </c>
      <c r="G168" s="27">
        <f>ROUND(First_Semester_Computer_Fundamentals[[#This Row],[Quiz Average]],0)</f>
        <v>8</v>
      </c>
      <c r="H168" s="31">
        <v>2</v>
      </c>
      <c r="I168" s="31">
        <v>5</v>
      </c>
      <c r="J168" s="31">
        <v>4</v>
      </c>
      <c r="K168" s="2">
        <f>SUM(First_Semester_Computer_Fundamentals[[#This Row],[Assignment]:[Attendance]])</f>
        <v>11</v>
      </c>
      <c r="L168" s="27">
        <f>ROUND(First_Semester_Computer_Fundamentals[[#This Row],[Total out of APA]],0)</f>
        <v>11</v>
      </c>
      <c r="M168" s="28">
        <v>20.5</v>
      </c>
      <c r="N168" s="28">
        <v>23.5</v>
      </c>
      <c r="O168" s="28">
        <f>SUM(First_Semester_Computer_Fundamentals[[#This Row],[Midterm]:[Final]])</f>
        <v>44</v>
      </c>
      <c r="P168" s="42">
        <f>ROUND(First_Semester_Computer_Fundamentals[[#This Row],[Mid &amp; Final]],0)</f>
        <v>44</v>
      </c>
      <c r="Q168" s="42">
        <f t="shared" si="15"/>
        <v>63</v>
      </c>
      <c r="R168" s="46" t="str">
        <f t="shared" si="16"/>
        <v>B</v>
      </c>
      <c r="S168" s="44" t="str">
        <f t="shared" si="17"/>
        <v>3.00</v>
      </c>
      <c r="T168" s="34" t="str">
        <f t="shared" si="18"/>
        <v>Satisfactory</v>
      </c>
      <c r="U168" s="21"/>
    </row>
    <row r="169" spans="1:21" x14ac:dyDescent="0.25">
      <c r="A169" s="1" t="s">
        <v>10</v>
      </c>
      <c r="B169" s="29" t="s">
        <v>36</v>
      </c>
      <c r="C169" s="28">
        <v>5.666666666666667</v>
      </c>
      <c r="D169" s="28">
        <v>11.666666666666666</v>
      </c>
      <c r="E169" s="28">
        <v>2</v>
      </c>
      <c r="F169" s="28">
        <f>(((SUM(First_Semester_Computer_Fundamentals[[#This Row],[Quiz 1]:[Quiz 3]]))/SUM($C$63:$E$63))*$F$63)</f>
        <v>6.4444444444444438</v>
      </c>
      <c r="G169" s="27">
        <f>ROUND(First_Semester_Computer_Fundamentals[[#This Row],[Quiz Average]],0)</f>
        <v>6</v>
      </c>
      <c r="H169" s="31">
        <v>3</v>
      </c>
      <c r="I169" s="31">
        <v>3</v>
      </c>
      <c r="J169" s="31">
        <v>4</v>
      </c>
      <c r="K169" s="2">
        <f>SUM(First_Semester_Computer_Fundamentals[[#This Row],[Assignment]:[Attendance]])</f>
        <v>10</v>
      </c>
      <c r="L169" s="27">
        <f>ROUND(First_Semester_Computer_Fundamentals[[#This Row],[Total out of APA]],0)</f>
        <v>10</v>
      </c>
      <c r="M169" s="28">
        <v>10.5</v>
      </c>
      <c r="N169" s="28">
        <v>13</v>
      </c>
      <c r="O169" s="28">
        <f>SUM(First_Semester_Computer_Fundamentals[[#This Row],[Midterm]:[Final]])</f>
        <v>23.5</v>
      </c>
      <c r="P169" s="42">
        <f>ROUND(First_Semester_Computer_Fundamentals[[#This Row],[Mid &amp; Final]],0)</f>
        <v>24</v>
      </c>
      <c r="Q169" s="42">
        <f t="shared" si="15"/>
        <v>40</v>
      </c>
      <c r="R169" s="46" t="str">
        <f t="shared" si="16"/>
        <v>D</v>
      </c>
      <c r="S169" s="44" t="str">
        <f t="shared" si="17"/>
        <v>2.00</v>
      </c>
      <c r="T169" s="34" t="str">
        <f t="shared" si="18"/>
        <v>Pass</v>
      </c>
      <c r="U169" s="21"/>
    </row>
    <row r="170" spans="1:21" x14ac:dyDescent="0.25">
      <c r="A170" s="210" t="s">
        <v>11</v>
      </c>
      <c r="B170" s="211" t="s">
        <v>31</v>
      </c>
      <c r="C170" s="209"/>
      <c r="D170" s="209"/>
      <c r="E170" s="209"/>
      <c r="F170" s="209"/>
      <c r="G170" s="212"/>
      <c r="H170" s="213"/>
      <c r="I170" s="213"/>
      <c r="J170" s="213"/>
      <c r="K170" s="208"/>
      <c r="L170" s="212"/>
      <c r="M170" s="209"/>
      <c r="N170" s="209"/>
      <c r="O170" s="209"/>
      <c r="P170" s="214"/>
      <c r="Q170" s="214"/>
      <c r="R170" s="215"/>
      <c r="S170" s="216"/>
      <c r="T170" s="217"/>
      <c r="U170" s="21"/>
    </row>
    <row r="171" spans="1:21" x14ac:dyDescent="0.25">
      <c r="A171" s="1" t="s">
        <v>12</v>
      </c>
      <c r="B171" s="29" t="s">
        <v>37</v>
      </c>
      <c r="C171" s="28">
        <v>9</v>
      </c>
      <c r="D171" s="28">
        <v>10.333333333333334</v>
      </c>
      <c r="E171" s="28">
        <v>8.3333333333333339</v>
      </c>
      <c r="F171" s="28">
        <f>(((SUM(First_Semester_Computer_Fundamentals[[#This Row],[Quiz 1]:[Quiz 3]]))/SUM($C$63:$E$63))*$F$63)</f>
        <v>9.2222222222222232</v>
      </c>
      <c r="G171" s="27">
        <f>ROUND(First_Semester_Computer_Fundamentals[[#This Row],[Quiz Average]],0)</f>
        <v>9</v>
      </c>
      <c r="H171" s="31">
        <v>3</v>
      </c>
      <c r="I171" s="31">
        <v>8</v>
      </c>
      <c r="J171" s="31">
        <v>7</v>
      </c>
      <c r="K171" s="2">
        <f>SUM(First_Semester_Computer_Fundamentals[[#This Row],[Assignment]:[Attendance]])</f>
        <v>18</v>
      </c>
      <c r="L171" s="27">
        <f>ROUND(First_Semester_Computer_Fundamentals[[#This Row],[Total out of APA]],0)</f>
        <v>18</v>
      </c>
      <c r="M171" s="28">
        <v>12.5</v>
      </c>
      <c r="N171" s="28">
        <v>16</v>
      </c>
      <c r="O171" s="28">
        <f>SUM(First_Semester_Computer_Fundamentals[[#This Row],[Midterm]:[Final]])</f>
        <v>28.5</v>
      </c>
      <c r="P171" s="42">
        <f>ROUND(First_Semester_Computer_Fundamentals[[#This Row],[Mid &amp; Final]],0)</f>
        <v>29</v>
      </c>
      <c r="Q171" s="42">
        <f t="shared" si="15"/>
        <v>56</v>
      </c>
      <c r="R171" s="46" t="str">
        <f t="shared" si="16"/>
        <v>B-</v>
      </c>
      <c r="S171" s="44" t="str">
        <f t="shared" si="17"/>
        <v>2.75</v>
      </c>
      <c r="T171" s="34" t="str">
        <f t="shared" si="18"/>
        <v>Above Average</v>
      </c>
      <c r="U171" s="21"/>
    </row>
    <row r="172" spans="1:21" x14ac:dyDescent="0.25">
      <c r="A172" s="1" t="s">
        <v>13</v>
      </c>
      <c r="B172" s="29" t="s">
        <v>38</v>
      </c>
      <c r="C172" s="28">
        <v>12</v>
      </c>
      <c r="D172" s="28">
        <v>4.333333333333333</v>
      </c>
      <c r="E172" s="28">
        <v>3.6666666666666665</v>
      </c>
      <c r="F172" s="28">
        <f>(((SUM(First_Semester_Computer_Fundamentals[[#This Row],[Quiz 1]:[Quiz 3]]))/SUM($C$63:$E$63))*$F$63)</f>
        <v>6.6666666666666661</v>
      </c>
      <c r="G172" s="27">
        <f>ROUND(First_Semester_Computer_Fundamentals[[#This Row],[Quiz Average]],0)</f>
        <v>7</v>
      </c>
      <c r="H172" s="31">
        <v>5</v>
      </c>
      <c r="I172" s="31">
        <v>4</v>
      </c>
      <c r="J172" s="31">
        <v>2</v>
      </c>
      <c r="K172" s="2">
        <f>SUM(First_Semester_Computer_Fundamentals[[#This Row],[Assignment]:[Attendance]])</f>
        <v>11</v>
      </c>
      <c r="L172" s="27">
        <f>ROUND(First_Semester_Computer_Fundamentals[[#This Row],[Total out of APA]],0)</f>
        <v>11</v>
      </c>
      <c r="M172" s="28">
        <v>24.5</v>
      </c>
      <c r="N172" s="28">
        <v>32.5</v>
      </c>
      <c r="O172" s="28">
        <f>SUM(First_Semester_Computer_Fundamentals[[#This Row],[Midterm]:[Final]])</f>
        <v>57</v>
      </c>
      <c r="P172" s="42">
        <f>ROUND(First_Semester_Computer_Fundamentals[[#This Row],[Mid &amp; Final]],0)</f>
        <v>57</v>
      </c>
      <c r="Q172" s="42">
        <f t="shared" si="15"/>
        <v>75</v>
      </c>
      <c r="R172" s="46" t="str">
        <f t="shared" si="16"/>
        <v>A</v>
      </c>
      <c r="S172" s="44" t="str">
        <f t="shared" si="17"/>
        <v>3.75</v>
      </c>
      <c r="T172" s="34" t="str">
        <f t="shared" si="18"/>
        <v>Excellent</v>
      </c>
      <c r="U172" s="21"/>
    </row>
    <row r="173" spans="1:21" x14ac:dyDescent="0.25">
      <c r="A173" s="1" t="s">
        <v>14</v>
      </c>
      <c r="B173" s="29" t="s">
        <v>39</v>
      </c>
      <c r="C173" s="28">
        <v>1.3333333333333333</v>
      </c>
      <c r="D173" s="28">
        <v>6.666666666666667</v>
      </c>
      <c r="E173" s="28">
        <v>8.3333333333333339</v>
      </c>
      <c r="F173" s="28">
        <f>(((SUM(First_Semester_Computer_Fundamentals[[#This Row],[Quiz 1]:[Quiz 3]]))/SUM($C$63:$E$63))*$F$63)</f>
        <v>5.4444444444444455</v>
      </c>
      <c r="G173" s="27">
        <f>ROUND(First_Semester_Computer_Fundamentals[[#This Row],[Quiz Average]],0)</f>
        <v>5</v>
      </c>
      <c r="H173" s="31">
        <v>4</v>
      </c>
      <c r="I173" s="31">
        <v>2</v>
      </c>
      <c r="J173" s="31">
        <v>6</v>
      </c>
      <c r="K173" s="2">
        <f>SUM(First_Semester_Computer_Fundamentals[[#This Row],[Assignment]:[Attendance]])</f>
        <v>12</v>
      </c>
      <c r="L173" s="27">
        <f>ROUND(First_Semester_Computer_Fundamentals[[#This Row],[Total out of APA]],0)</f>
        <v>12</v>
      </c>
      <c r="M173" s="28">
        <v>23</v>
      </c>
      <c r="N173" s="28">
        <v>8.5</v>
      </c>
      <c r="O173" s="28">
        <f>SUM(First_Semester_Computer_Fundamentals[[#This Row],[Midterm]:[Final]])</f>
        <v>31.5</v>
      </c>
      <c r="P173" s="42">
        <f>ROUND(First_Semester_Computer_Fundamentals[[#This Row],[Mid &amp; Final]],0)</f>
        <v>32</v>
      </c>
      <c r="Q173" s="42">
        <f t="shared" si="15"/>
        <v>49</v>
      </c>
      <c r="R173" s="46" t="str">
        <f t="shared" si="16"/>
        <v>C</v>
      </c>
      <c r="S173" s="44" t="str">
        <f t="shared" si="17"/>
        <v>2.25</v>
      </c>
      <c r="T173" s="34" t="str">
        <f t="shared" si="18"/>
        <v>Bellow Average</v>
      </c>
      <c r="U173" s="21"/>
    </row>
    <row r="174" spans="1:21" x14ac:dyDescent="0.25">
      <c r="A174" s="1" t="s">
        <v>15</v>
      </c>
      <c r="B174" s="29" t="s">
        <v>40</v>
      </c>
      <c r="C174" s="28">
        <v>11.666666666666666</v>
      </c>
      <c r="D174" s="28">
        <v>3.3333333333333335</v>
      </c>
      <c r="E174" s="28">
        <v>10.333333333333334</v>
      </c>
      <c r="F174" s="28">
        <f>(((SUM(First_Semester_Computer_Fundamentals[[#This Row],[Quiz 1]:[Quiz 3]]))/SUM($C$63:$E$63))*$F$63)</f>
        <v>8.4444444444444446</v>
      </c>
      <c r="G174" s="27">
        <f>ROUND(First_Semester_Computer_Fundamentals[[#This Row],[Quiz Average]],0)</f>
        <v>8</v>
      </c>
      <c r="H174" s="31">
        <v>2</v>
      </c>
      <c r="I174" s="31">
        <v>6</v>
      </c>
      <c r="J174" s="31">
        <v>2</v>
      </c>
      <c r="K174" s="2">
        <f>SUM(First_Semester_Computer_Fundamentals[[#This Row],[Assignment]:[Attendance]])</f>
        <v>10</v>
      </c>
      <c r="L174" s="27">
        <f>ROUND(First_Semester_Computer_Fundamentals[[#This Row],[Total out of APA]],0)</f>
        <v>10</v>
      </c>
      <c r="M174" s="28">
        <v>19</v>
      </c>
      <c r="N174" s="28">
        <v>20</v>
      </c>
      <c r="O174" s="28">
        <f>SUM(First_Semester_Computer_Fundamentals[[#This Row],[Midterm]:[Final]])</f>
        <v>39</v>
      </c>
      <c r="P174" s="42">
        <f>ROUND(First_Semester_Computer_Fundamentals[[#This Row],[Mid &amp; Final]],0)</f>
        <v>39</v>
      </c>
      <c r="Q174" s="42">
        <f t="shared" si="15"/>
        <v>57</v>
      </c>
      <c r="R174" s="46" t="str">
        <f t="shared" si="16"/>
        <v>B-</v>
      </c>
      <c r="S174" s="44" t="str">
        <f t="shared" si="17"/>
        <v>2.75</v>
      </c>
      <c r="T174" s="34" t="str">
        <f t="shared" si="18"/>
        <v>Above Average</v>
      </c>
      <c r="U174" s="21"/>
    </row>
    <row r="175" spans="1:21" x14ac:dyDescent="0.25">
      <c r="A175" s="210" t="s">
        <v>16</v>
      </c>
      <c r="B175" s="211" t="s">
        <v>31</v>
      </c>
      <c r="C175" s="209"/>
      <c r="D175" s="209"/>
      <c r="E175" s="209"/>
      <c r="F175" s="209"/>
      <c r="G175" s="212"/>
      <c r="H175" s="213"/>
      <c r="I175" s="213"/>
      <c r="J175" s="213"/>
      <c r="K175" s="208"/>
      <c r="L175" s="212"/>
      <c r="M175" s="209"/>
      <c r="N175" s="209"/>
      <c r="O175" s="209"/>
      <c r="P175" s="214"/>
      <c r="Q175" s="214"/>
      <c r="R175" s="215"/>
      <c r="S175" s="216"/>
      <c r="T175" s="217"/>
      <c r="U175" s="21"/>
    </row>
    <row r="176" spans="1:21" x14ac:dyDescent="0.25">
      <c r="A176" s="1" t="s">
        <v>17</v>
      </c>
      <c r="B176" s="29" t="s">
        <v>41</v>
      </c>
      <c r="C176" s="28">
        <v>1.3333333333333333</v>
      </c>
      <c r="D176" s="28">
        <v>1.6666666666666667</v>
      </c>
      <c r="E176" s="28">
        <v>6</v>
      </c>
      <c r="F176" s="28">
        <f>(((SUM(First_Semester_Computer_Fundamentals[[#This Row],[Quiz 1]:[Quiz 3]]))/SUM($C$63:$E$63))*$F$63)</f>
        <v>3</v>
      </c>
      <c r="G176" s="27">
        <f>ROUND(First_Semester_Computer_Fundamentals[[#This Row],[Quiz Average]],0)</f>
        <v>3</v>
      </c>
      <c r="H176" s="31">
        <v>5</v>
      </c>
      <c r="I176" s="31">
        <v>8</v>
      </c>
      <c r="J176" s="31">
        <v>7</v>
      </c>
      <c r="K176" s="2">
        <f>SUM(First_Semester_Computer_Fundamentals[[#This Row],[Assignment]:[Attendance]])</f>
        <v>20</v>
      </c>
      <c r="L176" s="27">
        <f>ROUND(First_Semester_Computer_Fundamentals[[#This Row],[Total out of APA]],0)</f>
        <v>20</v>
      </c>
      <c r="M176" s="28">
        <v>13.5</v>
      </c>
      <c r="N176" s="28">
        <v>11.5</v>
      </c>
      <c r="O176" s="28">
        <f>SUM(First_Semester_Computer_Fundamentals[[#This Row],[Midterm]:[Final]])</f>
        <v>25</v>
      </c>
      <c r="P176" s="42">
        <f>ROUND(First_Semester_Computer_Fundamentals[[#This Row],[Mid &amp; Final]],0)</f>
        <v>25</v>
      </c>
      <c r="Q176" s="42">
        <f t="shared" si="15"/>
        <v>48</v>
      </c>
      <c r="R176" s="46" t="str">
        <f t="shared" si="16"/>
        <v>C</v>
      </c>
      <c r="S176" s="44" t="str">
        <f t="shared" si="17"/>
        <v>2.25</v>
      </c>
      <c r="T176" s="34" t="str">
        <f t="shared" si="18"/>
        <v>Bellow Average</v>
      </c>
    </row>
    <row r="177" spans="1:20" x14ac:dyDescent="0.25">
      <c r="A177" s="1" t="s">
        <v>18</v>
      </c>
      <c r="B177" s="29" t="s">
        <v>42</v>
      </c>
      <c r="C177" s="28">
        <v>9</v>
      </c>
      <c r="D177" s="28">
        <v>9.6666666666666661</v>
      </c>
      <c r="E177" s="28">
        <v>9</v>
      </c>
      <c r="F177" s="28">
        <f>(((SUM(First_Semester_Computer_Fundamentals[[#This Row],[Quiz 1]:[Quiz 3]]))/SUM($C$63:$E$63))*$F$63)</f>
        <v>9.2222222222222214</v>
      </c>
      <c r="G177" s="27">
        <f>ROUND(First_Semester_Computer_Fundamentals[[#This Row],[Quiz Average]],0)</f>
        <v>9</v>
      </c>
      <c r="H177" s="31">
        <v>5</v>
      </c>
      <c r="I177" s="31">
        <v>4</v>
      </c>
      <c r="J177" s="31">
        <v>2</v>
      </c>
      <c r="K177" s="2">
        <f>SUM(First_Semester_Computer_Fundamentals[[#This Row],[Assignment]:[Attendance]])</f>
        <v>11</v>
      </c>
      <c r="L177" s="27">
        <f>ROUND(First_Semester_Computer_Fundamentals[[#This Row],[Total out of APA]],0)</f>
        <v>11</v>
      </c>
      <c r="M177" s="28">
        <v>15</v>
      </c>
      <c r="N177" s="28">
        <v>2</v>
      </c>
      <c r="O177" s="28">
        <f>SUM(First_Semester_Computer_Fundamentals[[#This Row],[Midterm]:[Final]])</f>
        <v>17</v>
      </c>
      <c r="P177" s="42">
        <f>ROUND(First_Semester_Computer_Fundamentals[[#This Row],[Mid &amp; Final]],0)</f>
        <v>17</v>
      </c>
      <c r="Q177" s="42">
        <f t="shared" si="15"/>
        <v>37</v>
      </c>
      <c r="R177" s="46" t="str">
        <f t="shared" si="16"/>
        <v>F</v>
      </c>
      <c r="S177" s="44" t="str">
        <f t="shared" si="17"/>
        <v>0.00</v>
      </c>
      <c r="T177" s="34" t="str">
        <f t="shared" si="18"/>
        <v>Fail</v>
      </c>
    </row>
    <row r="178" spans="1:20" x14ac:dyDescent="0.25">
      <c r="A178" s="1" t="s">
        <v>19</v>
      </c>
      <c r="B178" s="29" t="s">
        <v>43</v>
      </c>
      <c r="C178" s="28">
        <v>3.3333333333333335</v>
      </c>
      <c r="D178" s="28">
        <v>1.3333333333333333</v>
      </c>
      <c r="E178" s="28">
        <v>6</v>
      </c>
      <c r="F178" s="28">
        <f>(((SUM(First_Semester_Computer_Fundamentals[[#This Row],[Quiz 1]:[Quiz 3]]))/SUM($C$63:$E$63))*$F$63)</f>
        <v>3.5555555555555562</v>
      </c>
      <c r="G178" s="27">
        <f>ROUND(First_Semester_Computer_Fundamentals[[#This Row],[Quiz Average]],0)</f>
        <v>4</v>
      </c>
      <c r="H178" s="31">
        <v>2</v>
      </c>
      <c r="I178" s="31">
        <v>4</v>
      </c>
      <c r="J178" s="31">
        <v>2</v>
      </c>
      <c r="K178" s="2">
        <f>SUM(First_Semester_Computer_Fundamentals[[#This Row],[Assignment]:[Attendance]])</f>
        <v>8</v>
      </c>
      <c r="L178" s="27">
        <f>ROUND(First_Semester_Computer_Fundamentals[[#This Row],[Total out of APA]],0)</f>
        <v>8</v>
      </c>
      <c r="M178" s="28">
        <v>20.5</v>
      </c>
      <c r="N178" s="28">
        <v>34</v>
      </c>
      <c r="O178" s="28">
        <f>SUM(First_Semester_Computer_Fundamentals[[#This Row],[Midterm]:[Final]])</f>
        <v>54.5</v>
      </c>
      <c r="P178" s="42">
        <f>ROUND(First_Semester_Computer_Fundamentals[[#This Row],[Mid &amp; Final]],0)</f>
        <v>55</v>
      </c>
      <c r="Q178" s="42">
        <f t="shared" si="15"/>
        <v>67</v>
      </c>
      <c r="R178" s="46" t="str">
        <f t="shared" si="16"/>
        <v>B+</v>
      </c>
      <c r="S178" s="44" t="str">
        <f t="shared" si="17"/>
        <v>3.25</v>
      </c>
      <c r="T178" s="34" t="str">
        <f t="shared" si="18"/>
        <v>Good</v>
      </c>
    </row>
    <row r="179" spans="1:20" x14ac:dyDescent="0.25">
      <c r="A179" s="1" t="s">
        <v>23</v>
      </c>
      <c r="B179" s="29" t="s">
        <v>44</v>
      </c>
      <c r="C179" s="28">
        <v>8</v>
      </c>
      <c r="D179" s="28">
        <v>9.3333333333333339</v>
      </c>
      <c r="E179" s="28">
        <v>6</v>
      </c>
      <c r="F179" s="28">
        <f>(((SUM(First_Semester_Computer_Fundamentals[[#This Row],[Quiz 1]:[Quiz 3]]))/SUM($C$63:$E$63))*$F$63)</f>
        <v>7.7777777777777786</v>
      </c>
      <c r="G179" s="27">
        <f>ROUND(First_Semester_Computer_Fundamentals[[#This Row],[Quiz Average]],0)</f>
        <v>8</v>
      </c>
      <c r="H179" s="31">
        <v>2</v>
      </c>
      <c r="I179" s="31">
        <v>8</v>
      </c>
      <c r="J179" s="31">
        <v>3</v>
      </c>
      <c r="K179" s="2">
        <f>SUM(First_Semester_Computer_Fundamentals[[#This Row],[Assignment]:[Attendance]])</f>
        <v>13</v>
      </c>
      <c r="L179" s="27">
        <f>ROUND(First_Semester_Computer_Fundamentals[[#This Row],[Total out of APA]],0)</f>
        <v>13</v>
      </c>
      <c r="M179" s="28">
        <v>14</v>
      </c>
      <c r="N179" s="28">
        <v>19</v>
      </c>
      <c r="O179" s="28">
        <f>SUM(First_Semester_Computer_Fundamentals[[#This Row],[Midterm]:[Final]])</f>
        <v>33</v>
      </c>
      <c r="P179" s="42">
        <f>ROUND(First_Semester_Computer_Fundamentals[[#This Row],[Mid &amp; Final]],0)</f>
        <v>33</v>
      </c>
      <c r="Q179" s="42">
        <f t="shared" si="15"/>
        <v>54</v>
      </c>
      <c r="R179" s="46" t="str">
        <f t="shared" si="16"/>
        <v>C+</v>
      </c>
      <c r="S179" s="44" t="str">
        <f t="shared" si="17"/>
        <v>2.50</v>
      </c>
      <c r="T179" s="34" t="str">
        <f t="shared" si="18"/>
        <v>Average</v>
      </c>
    </row>
    <row r="180" spans="1:20" x14ac:dyDescent="0.25">
      <c r="A180" s="1" t="s">
        <v>24</v>
      </c>
      <c r="B180" s="29" t="s">
        <v>45</v>
      </c>
      <c r="C180" s="28">
        <v>3</v>
      </c>
      <c r="D180" s="28">
        <v>10</v>
      </c>
      <c r="E180" s="28">
        <v>13</v>
      </c>
      <c r="F180" s="28">
        <f>(((SUM(First_Semester_Computer_Fundamentals[[#This Row],[Quiz 1]:[Quiz 3]]))/SUM($C$63:$E$63))*$F$63)</f>
        <v>8.6666666666666661</v>
      </c>
      <c r="G180" s="27">
        <f>ROUND(First_Semester_Computer_Fundamentals[[#This Row],[Quiz Average]],0)</f>
        <v>9</v>
      </c>
      <c r="H180" s="31">
        <v>2</v>
      </c>
      <c r="I180" s="31">
        <v>2</v>
      </c>
      <c r="J180" s="31">
        <v>2</v>
      </c>
      <c r="K180" s="2">
        <f>SUM(First_Semester_Computer_Fundamentals[[#This Row],[Assignment]:[Attendance]])</f>
        <v>6</v>
      </c>
      <c r="L180" s="27">
        <f>ROUND(First_Semester_Computer_Fundamentals[[#This Row],[Total out of APA]],0)</f>
        <v>6</v>
      </c>
      <c r="M180" s="28">
        <v>25</v>
      </c>
      <c r="N180" s="28">
        <v>34.5</v>
      </c>
      <c r="O180" s="28">
        <f>SUM(First_Semester_Computer_Fundamentals[[#This Row],[Midterm]:[Final]])</f>
        <v>59.5</v>
      </c>
      <c r="P180" s="42">
        <f>ROUND(First_Semester_Computer_Fundamentals[[#This Row],[Mid &amp; Final]],0)</f>
        <v>60</v>
      </c>
      <c r="Q180" s="42">
        <f t="shared" si="15"/>
        <v>75</v>
      </c>
      <c r="R180" s="46" t="str">
        <f t="shared" si="16"/>
        <v>A</v>
      </c>
      <c r="S180" s="44" t="str">
        <f t="shared" si="17"/>
        <v>3.75</v>
      </c>
      <c r="T180" s="34" t="str">
        <f t="shared" si="18"/>
        <v>Excellent</v>
      </c>
    </row>
    <row r="181" spans="1:20" x14ac:dyDescent="0.25">
      <c r="A181" s="1" t="s">
        <v>25</v>
      </c>
      <c r="B181" s="29" t="s">
        <v>46</v>
      </c>
      <c r="C181" s="28">
        <v>5</v>
      </c>
      <c r="D181" s="28">
        <v>13.666666666666666</v>
      </c>
      <c r="E181" s="28">
        <v>8</v>
      </c>
      <c r="F181" s="28">
        <f>(((SUM(First_Semester_Computer_Fundamentals[[#This Row],[Quiz 1]:[Quiz 3]]))/SUM($C$63:$E$63))*$F$63)</f>
        <v>8.8888888888888893</v>
      </c>
      <c r="G181" s="27">
        <f>ROUND(First_Semester_Computer_Fundamentals[[#This Row],[Quiz Average]],0)</f>
        <v>9</v>
      </c>
      <c r="H181" s="31">
        <v>2</v>
      </c>
      <c r="I181" s="31">
        <v>7</v>
      </c>
      <c r="J181" s="31">
        <v>7</v>
      </c>
      <c r="K181" s="2">
        <f>SUM(First_Semester_Computer_Fundamentals[[#This Row],[Assignment]:[Attendance]])</f>
        <v>16</v>
      </c>
      <c r="L181" s="27">
        <f>ROUND(First_Semester_Computer_Fundamentals[[#This Row],[Total out of APA]],0)</f>
        <v>16</v>
      </c>
      <c r="M181" s="28">
        <v>8</v>
      </c>
      <c r="N181" s="28">
        <v>22</v>
      </c>
      <c r="O181" s="28">
        <f>SUM(First_Semester_Computer_Fundamentals[[#This Row],[Midterm]:[Final]])</f>
        <v>30</v>
      </c>
      <c r="P181" s="42">
        <f>ROUND(First_Semester_Computer_Fundamentals[[#This Row],[Mid &amp; Final]],0)</f>
        <v>30</v>
      </c>
      <c r="Q181" s="42">
        <f t="shared" si="15"/>
        <v>55</v>
      </c>
      <c r="R181" s="46" t="str">
        <f t="shared" si="16"/>
        <v>B-</v>
      </c>
      <c r="S181" s="44" t="str">
        <f t="shared" si="17"/>
        <v>2.75</v>
      </c>
      <c r="T181" s="34" t="str">
        <f t="shared" si="18"/>
        <v>Above Average</v>
      </c>
    </row>
    <row r="182" spans="1:20" x14ac:dyDescent="0.25">
      <c r="A182" s="1" t="s">
        <v>26</v>
      </c>
      <c r="B182" s="29" t="s">
        <v>47</v>
      </c>
      <c r="C182" s="28">
        <v>10.666666666666666</v>
      </c>
      <c r="D182" s="28">
        <v>12</v>
      </c>
      <c r="E182" s="28">
        <v>13</v>
      </c>
      <c r="F182" s="28">
        <f>(((SUM(First_Semester_Computer_Fundamentals[[#This Row],[Quiz 1]:[Quiz 3]]))/SUM($C$63:$E$63))*$F$63)</f>
        <v>11.888888888888888</v>
      </c>
      <c r="G182" s="27">
        <f>ROUND(First_Semester_Computer_Fundamentals[[#This Row],[Quiz Average]],0)</f>
        <v>12</v>
      </c>
      <c r="H182" s="31">
        <v>4</v>
      </c>
      <c r="I182" s="31">
        <v>8</v>
      </c>
      <c r="J182" s="31">
        <v>6</v>
      </c>
      <c r="K182" s="2">
        <f>SUM(First_Semester_Computer_Fundamentals[[#This Row],[Assignment]:[Attendance]])</f>
        <v>18</v>
      </c>
      <c r="L182" s="27">
        <f>ROUND(First_Semester_Computer_Fundamentals[[#This Row],[Total out of APA]],0)</f>
        <v>18</v>
      </c>
      <c r="M182" s="28">
        <v>6</v>
      </c>
      <c r="N182" s="28">
        <v>6.5</v>
      </c>
      <c r="O182" s="28">
        <f>SUM(First_Semester_Computer_Fundamentals[[#This Row],[Midterm]:[Final]])</f>
        <v>12.5</v>
      </c>
      <c r="P182" s="42">
        <f>ROUND(First_Semester_Computer_Fundamentals[[#This Row],[Mid &amp; Final]],0)</f>
        <v>13</v>
      </c>
      <c r="Q182" s="42">
        <f t="shared" si="15"/>
        <v>43</v>
      </c>
      <c r="R182" s="46" t="str">
        <f t="shared" si="16"/>
        <v>D</v>
      </c>
      <c r="S182" s="44" t="str">
        <f t="shared" si="17"/>
        <v>2.00</v>
      </c>
      <c r="T182" s="34" t="str">
        <f t="shared" si="18"/>
        <v>Pass</v>
      </c>
    </row>
    <row r="183" spans="1:20" x14ac:dyDescent="0.25">
      <c r="A183" s="1" t="s">
        <v>50</v>
      </c>
      <c r="B183" s="29" t="s">
        <v>51</v>
      </c>
      <c r="C183" s="28">
        <v>11.666666666666666</v>
      </c>
      <c r="D183" s="28">
        <v>8.6666666666666661</v>
      </c>
      <c r="E183" s="28">
        <v>4.333333333333333</v>
      </c>
      <c r="F183" s="28">
        <f>(((SUM(First_Semester_Computer_Fundamentals[[#This Row],[Quiz 1]:[Quiz 3]]))/SUM($C$63:$E$63))*$F$63)</f>
        <v>8.2222222222222214</v>
      </c>
      <c r="G183" s="27">
        <f>ROUND(First_Semester_Computer_Fundamentals[[#This Row],[Quiz Average]],0)</f>
        <v>8</v>
      </c>
      <c r="H183" s="31">
        <v>4</v>
      </c>
      <c r="I183" s="31">
        <v>4</v>
      </c>
      <c r="J183" s="31">
        <v>3</v>
      </c>
      <c r="K183" s="2">
        <f>SUM(First_Semester_Computer_Fundamentals[[#This Row],[Assignment]:[Attendance]])</f>
        <v>11</v>
      </c>
      <c r="L183" s="27">
        <f>ROUND(First_Semester_Computer_Fundamentals[[#This Row],[Total out of APA]],0)</f>
        <v>11</v>
      </c>
      <c r="M183" s="28">
        <v>18</v>
      </c>
      <c r="N183" s="28">
        <v>36.5</v>
      </c>
      <c r="O183" s="28">
        <f>SUM(First_Semester_Computer_Fundamentals[[#This Row],[Midterm]:[Final]])</f>
        <v>54.5</v>
      </c>
      <c r="P183" s="42">
        <f>ROUND(First_Semester_Computer_Fundamentals[[#This Row],[Mid &amp; Final]],0)</f>
        <v>55</v>
      </c>
      <c r="Q183" s="42">
        <f t="shared" si="15"/>
        <v>74</v>
      </c>
      <c r="R183" s="46" t="str">
        <f t="shared" si="16"/>
        <v>A-</v>
      </c>
      <c r="S183" s="44" t="str">
        <f t="shared" si="17"/>
        <v>3.50</v>
      </c>
      <c r="T183" s="34" t="str">
        <f t="shared" si="18"/>
        <v>Very Good</v>
      </c>
    </row>
    <row r="184" spans="1:20" x14ac:dyDescent="0.25">
      <c r="A184" s="1" t="s">
        <v>53</v>
      </c>
      <c r="B184" s="29" t="s">
        <v>54</v>
      </c>
      <c r="C184" s="28">
        <v>14.333333333333334</v>
      </c>
      <c r="D184" s="28">
        <v>5.333333333333333</v>
      </c>
      <c r="E184" s="28">
        <v>10.333333333333334</v>
      </c>
      <c r="F184" s="28">
        <f>(((SUM(First_Semester_Computer_Fundamentals[[#This Row],[Quiz 1]:[Quiz 3]]))/SUM($C$63:$E$63))*$F$63)</f>
        <v>10</v>
      </c>
      <c r="G184" s="27">
        <f>ROUND(First_Semester_Computer_Fundamentals[[#This Row],[Quiz Average]],0)</f>
        <v>10</v>
      </c>
      <c r="H184" s="31">
        <v>2</v>
      </c>
      <c r="I184" s="31">
        <v>5</v>
      </c>
      <c r="J184" s="31">
        <v>4</v>
      </c>
      <c r="K184" s="2">
        <f>SUM(First_Semester_Computer_Fundamentals[[#This Row],[Assignment]:[Attendance]])</f>
        <v>11</v>
      </c>
      <c r="L184" s="27">
        <f>ROUND(First_Semester_Computer_Fundamentals[[#This Row],[Total out of APA]],0)</f>
        <v>11</v>
      </c>
      <c r="M184" s="28">
        <v>16.5</v>
      </c>
      <c r="N184" s="28">
        <v>31.5</v>
      </c>
      <c r="O184" s="28">
        <f>SUM(First_Semester_Computer_Fundamentals[[#This Row],[Midterm]:[Final]])</f>
        <v>48</v>
      </c>
      <c r="P184" s="42">
        <f>ROUND(First_Semester_Computer_Fundamentals[[#This Row],[Mid &amp; Final]],0)</f>
        <v>48</v>
      </c>
      <c r="Q184" s="42">
        <f t="shared" si="15"/>
        <v>69</v>
      </c>
      <c r="R184" s="46" t="str">
        <f t="shared" si="16"/>
        <v>B+</v>
      </c>
      <c r="S184" s="44" t="str">
        <f t="shared" si="17"/>
        <v>3.25</v>
      </c>
      <c r="T184" s="34" t="str">
        <f t="shared" si="18"/>
        <v>Good</v>
      </c>
    </row>
    <row r="185" spans="1:20" ht="15.75" thickBot="1" x14ac:dyDescent="0.3">
      <c r="A185" s="35" t="s">
        <v>60</v>
      </c>
      <c r="B185" s="36" t="s">
        <v>61</v>
      </c>
      <c r="C185" s="37">
        <v>14.333333333333334</v>
      </c>
      <c r="D185" s="37">
        <v>2.6666666666666665</v>
      </c>
      <c r="E185" s="37">
        <v>2.6666666666666665</v>
      </c>
      <c r="F185" s="37">
        <f>(((SUM(First_Semester_Computer_Fundamentals[[#This Row],[Quiz 1]:[Quiz 3]]))/SUM($C$63:$E$63))*$F$63)</f>
        <v>6.5555555555555562</v>
      </c>
      <c r="G185" s="38">
        <f>ROUND(First_Semester_Computer_Fundamentals[[#This Row],[Quiz Average]],0)</f>
        <v>7</v>
      </c>
      <c r="H185" s="39">
        <v>3</v>
      </c>
      <c r="I185" s="39">
        <v>6</v>
      </c>
      <c r="J185" s="39">
        <v>7</v>
      </c>
      <c r="K185" s="40">
        <f>SUM(First_Semester_Computer_Fundamentals[[#This Row],[Assignment]:[Attendance]])</f>
        <v>16</v>
      </c>
      <c r="L185" s="38">
        <f>ROUND(First_Semester_Computer_Fundamentals[[#This Row],[Total out of APA]],0)</f>
        <v>16</v>
      </c>
      <c r="M185" s="37">
        <v>23.5</v>
      </c>
      <c r="N185" s="37">
        <v>11</v>
      </c>
      <c r="O185" s="37">
        <f>SUM(First_Semester_Computer_Fundamentals[[#This Row],[Midterm]:[Final]])</f>
        <v>34.5</v>
      </c>
      <c r="P185" s="43">
        <f>ROUND(First_Semester_Computer_Fundamentals[[#This Row],[Mid &amp; Final]],0)</f>
        <v>35</v>
      </c>
      <c r="Q185" s="59">
        <f t="shared" si="15"/>
        <v>58</v>
      </c>
      <c r="R185" s="47" t="str">
        <f t="shared" si="16"/>
        <v>B-</v>
      </c>
      <c r="S185" s="45" t="str">
        <f t="shared" si="17"/>
        <v>2.75</v>
      </c>
      <c r="T185" s="41" t="str">
        <f t="shared" si="18"/>
        <v>Above Average</v>
      </c>
    </row>
    <row r="186" spans="1:20" x14ac:dyDescent="0.25">
      <c r="A186" s="68"/>
      <c r="B186" s="68"/>
      <c r="C186" s="30"/>
      <c r="D186" s="30"/>
      <c r="E186" s="30"/>
      <c r="F186" s="30"/>
      <c r="G186" s="69"/>
      <c r="H186" s="71"/>
      <c r="I186" s="71"/>
      <c r="J186" s="71"/>
      <c r="K186" s="69"/>
      <c r="L186" s="69"/>
      <c r="M186" s="30"/>
      <c r="N186" s="30"/>
      <c r="O186" s="30"/>
      <c r="P186" s="70"/>
      <c r="Q186" s="70"/>
      <c r="R186" s="30"/>
      <c r="S186" s="30"/>
      <c r="T186" s="30"/>
    </row>
    <row r="187" spans="1:20" x14ac:dyDescent="0.25">
      <c r="A187" s="68"/>
      <c r="B187" s="68"/>
      <c r="C187" s="30"/>
      <c r="D187" s="30"/>
      <c r="E187" s="30"/>
      <c r="F187" s="30"/>
      <c r="G187" s="69"/>
      <c r="H187" s="71"/>
      <c r="I187" s="71"/>
      <c r="J187" s="71"/>
      <c r="K187" s="69"/>
      <c r="L187" s="69"/>
      <c r="M187" s="30"/>
      <c r="N187" s="30"/>
      <c r="O187" s="30"/>
      <c r="P187" s="70"/>
      <c r="Q187" s="70"/>
      <c r="R187" s="30"/>
      <c r="S187" s="30"/>
      <c r="T187" s="30"/>
    </row>
    <row r="188" spans="1:20" x14ac:dyDescent="0.25">
      <c r="A188" s="68"/>
      <c r="B188" s="68"/>
      <c r="C188" s="30"/>
      <c r="D188" s="30"/>
      <c r="E188" s="30"/>
      <c r="F188" s="30"/>
      <c r="G188" s="69"/>
      <c r="H188" s="71"/>
      <c r="I188" s="71"/>
      <c r="J188" s="71"/>
      <c r="K188" s="69"/>
      <c r="L188" s="69"/>
      <c r="M188" s="30"/>
      <c r="N188" s="30"/>
      <c r="O188" s="30"/>
      <c r="P188" s="70"/>
      <c r="Q188" s="70"/>
      <c r="R188" s="30"/>
      <c r="S188" s="30"/>
      <c r="T188" s="30"/>
    </row>
    <row r="189" spans="1:20" x14ac:dyDescent="0.25">
      <c r="A189" s="68"/>
      <c r="B189" s="68"/>
      <c r="C189" s="30"/>
      <c r="D189" s="30"/>
      <c r="E189" s="30"/>
      <c r="F189" s="30"/>
      <c r="G189" s="69"/>
      <c r="H189" s="71"/>
      <c r="I189" s="71"/>
      <c r="J189" s="71"/>
      <c r="K189" s="69"/>
      <c r="L189" s="69"/>
      <c r="M189" s="30"/>
      <c r="N189" s="30"/>
      <c r="O189" s="30"/>
      <c r="P189" s="70"/>
      <c r="Q189" s="70"/>
      <c r="R189" s="30"/>
      <c r="S189" s="30"/>
      <c r="T189" s="30"/>
    </row>
    <row r="190" spans="1:20" x14ac:dyDescent="0.25">
      <c r="A190" s="68"/>
      <c r="B190" s="68"/>
      <c r="C190" s="30"/>
      <c r="D190" s="30"/>
      <c r="E190" s="30"/>
      <c r="F190" s="30"/>
      <c r="G190" s="69"/>
      <c r="H190" s="71"/>
      <c r="I190" s="71"/>
      <c r="J190" s="71"/>
      <c r="K190" s="69"/>
      <c r="L190" s="69"/>
      <c r="M190" s="30"/>
      <c r="N190" s="30"/>
      <c r="O190" s="30"/>
      <c r="P190" s="70"/>
      <c r="Q190" s="70"/>
      <c r="R190" s="30"/>
      <c r="S190" s="30"/>
      <c r="T190" s="30"/>
    </row>
    <row r="191" spans="1:20" x14ac:dyDescent="0.25">
      <c r="A191" s="68"/>
      <c r="B191" s="68"/>
      <c r="C191" s="30"/>
      <c r="D191" s="30"/>
      <c r="E191" s="30"/>
      <c r="F191" s="30"/>
      <c r="G191" s="69"/>
      <c r="H191" s="71"/>
      <c r="I191" s="71"/>
      <c r="J191" s="71"/>
      <c r="K191" s="69"/>
      <c r="L191" s="69"/>
      <c r="M191" s="30"/>
      <c r="N191" s="30"/>
      <c r="O191" s="30"/>
      <c r="P191" s="70"/>
      <c r="Q191" s="70"/>
      <c r="R191" s="30"/>
      <c r="S191" s="30"/>
      <c r="T191" s="30"/>
    </row>
    <row r="201" spans="1:20" ht="27" customHeight="1" x14ac:dyDescent="0.25">
      <c r="A201" s="293" t="s">
        <v>163</v>
      </c>
      <c r="B201" s="293"/>
      <c r="C201" s="56" t="s">
        <v>165</v>
      </c>
      <c r="D201" s="56"/>
      <c r="E201" s="56"/>
      <c r="F201" s="294" t="s">
        <v>157</v>
      </c>
      <c r="G201" s="294"/>
      <c r="H201" s="294"/>
      <c r="I201" s="294"/>
      <c r="J201" s="294"/>
      <c r="K201" s="294"/>
      <c r="L201" s="294"/>
      <c r="M201" s="56"/>
      <c r="N201" s="56"/>
      <c r="O201" s="64" t="s">
        <v>167</v>
      </c>
      <c r="P201" s="65">
        <v>44287</v>
      </c>
      <c r="Q201" s="56"/>
      <c r="R201" s="56"/>
    </row>
    <row r="202" spans="1:20" ht="27" customHeight="1" thickBot="1" x14ac:dyDescent="0.3">
      <c r="A202" s="296" t="s">
        <v>164</v>
      </c>
      <c r="B202" s="296"/>
      <c r="C202" s="63" t="s">
        <v>166</v>
      </c>
      <c r="D202" s="63"/>
      <c r="E202" s="62"/>
      <c r="F202" s="295"/>
      <c r="G202" s="295"/>
      <c r="H202" s="295"/>
      <c r="I202" s="295"/>
      <c r="J202" s="295"/>
      <c r="K202" s="295"/>
      <c r="L202" s="295"/>
      <c r="M202" s="32"/>
      <c r="N202" s="32"/>
      <c r="O202" s="72" t="s">
        <v>168</v>
      </c>
      <c r="P202" s="73">
        <v>0.91666666666666663</v>
      </c>
      <c r="Q202" s="9"/>
      <c r="R202" s="9"/>
    </row>
    <row r="203" spans="1:20" x14ac:dyDescent="0.25">
      <c r="A203" s="58" t="s">
        <v>0</v>
      </c>
      <c r="B203" s="57" t="s">
        <v>20</v>
      </c>
      <c r="C203" s="2" t="s">
        <v>132</v>
      </c>
      <c r="D203" s="2" t="s">
        <v>133</v>
      </c>
      <c r="E203" s="2" t="s">
        <v>134</v>
      </c>
      <c r="F203" s="98" t="s">
        <v>135</v>
      </c>
      <c r="G203" s="227" t="s">
        <v>136</v>
      </c>
      <c r="H203" s="2" t="s">
        <v>139</v>
      </c>
      <c r="I203" s="2" t="s">
        <v>137</v>
      </c>
      <c r="J203" s="20" t="s">
        <v>144</v>
      </c>
      <c r="K203" s="20" t="s">
        <v>169</v>
      </c>
      <c r="L203" s="33" t="s">
        <v>170</v>
      </c>
      <c r="M203" s="75" t="s">
        <v>147</v>
      </c>
      <c r="N203" s="75" t="s">
        <v>148</v>
      </c>
      <c r="O203" s="75" t="s">
        <v>149</v>
      </c>
      <c r="P203" s="77" t="s">
        <v>150</v>
      </c>
      <c r="Q203" s="9"/>
      <c r="R203" s="9"/>
      <c r="S203" s="9"/>
      <c r="T203" s="9"/>
    </row>
    <row r="204" spans="1:20" x14ac:dyDescent="0.25">
      <c r="A204" s="15"/>
      <c r="B204" s="49" t="s">
        <v>142</v>
      </c>
      <c r="C204" s="50">
        <v>15</v>
      </c>
      <c r="D204" s="50">
        <v>15</v>
      </c>
      <c r="E204" s="50">
        <v>15</v>
      </c>
      <c r="F204" s="51">
        <v>15</v>
      </c>
      <c r="G204" s="52">
        <v>15</v>
      </c>
      <c r="H204" s="50">
        <v>10</v>
      </c>
      <c r="I204" s="50">
        <v>35</v>
      </c>
      <c r="J204" s="50">
        <v>40</v>
      </c>
      <c r="K204" s="53">
        <v>75</v>
      </c>
      <c r="L204" s="54">
        <v>75</v>
      </c>
      <c r="M204" s="55">
        <v>100</v>
      </c>
      <c r="N204" s="55" t="s">
        <v>151</v>
      </c>
      <c r="O204" s="54" t="s">
        <v>152</v>
      </c>
      <c r="P204" s="78" t="s">
        <v>153</v>
      </c>
    </row>
    <row r="205" spans="1:20" x14ac:dyDescent="0.25">
      <c r="A205" s="1" t="s">
        <v>57</v>
      </c>
      <c r="B205" s="29" t="s">
        <v>58</v>
      </c>
      <c r="C205" s="28">
        <v>5</v>
      </c>
      <c r="D205" s="28">
        <v>13.333333333333334</v>
      </c>
      <c r="E205" s="28">
        <v>10.333333333333334</v>
      </c>
      <c r="F205" s="28">
        <f>(((SUM(First_Semester_Information_Systems_Engineering[[#This Row],[Quiz 1]:[Quiz 3]]))/SUM($C$63:$E$63))*$F$63)</f>
        <v>9.5555555555555571</v>
      </c>
      <c r="G205" s="27">
        <f>ROUND(First_Semester_Information_Systems_Engineering[[#This Row],[Quiz Average]],0)</f>
        <v>10</v>
      </c>
      <c r="H205" s="31">
        <v>6</v>
      </c>
      <c r="I205" s="28">
        <v>4.5</v>
      </c>
      <c r="J205" s="28">
        <v>23</v>
      </c>
      <c r="K205" s="28">
        <f>SUM(First_Semester_Information_Systems_Engineering[[#This Row],[Assignment]:[Final]])</f>
        <v>27.5</v>
      </c>
      <c r="L205" s="42">
        <f>ROUND(First_Semester_Information_Systems_Engineering[[#This Row],[Ass &amp; Final]],0)</f>
        <v>28</v>
      </c>
      <c r="M205" s="42">
        <f>SUM(G205,H205,L205)</f>
        <v>44</v>
      </c>
      <c r="N205" s="46" t="str">
        <f>IF(M205&gt;79,"A+",IF(M205&gt;74,"A",IF(M205&gt;69,"A-",IF(M205&gt;64,"B+",IF(M205&gt;59,"B",IF(M205&gt;54,"B-",IF(M205&gt;49,"C+",IF(M205&gt;44,"C",IF(M205&gt;39,"D",IF(M205&gt;0,"F","N/A"))))))))))</f>
        <v>D</v>
      </c>
      <c r="O205" s="44" t="str">
        <f>IF(M205&gt;79,"4.00",IF(M205&gt;74,"3.75",IF(M205&gt;69,"3.50",IF(M205&gt;64,"3.25",IF(M205&gt;59,"3.00",IF(M205&gt;54,"2.75",IF(M205&gt;49,"2.50",IF(M205&gt;44,"2.25",IF(M205&gt;39,"2.00",IF(M205&gt;0,"0.00","N/A"))))))))))</f>
        <v>2.00</v>
      </c>
      <c r="P205" s="79" t="str">
        <f>IF(M205&gt;79,"Outstanding",IF(M205&gt;74,"Excellent",IF(M205&gt;69,"Very Good",IF(M205&gt;64,"Good",IF(M205&gt;59,"Satisfactory",IF(M205&gt;54,"Above Average",IF(M205&gt;49,"Average",IF(M205&gt;44,"Bellow Average",IF(M205&gt;39,"Pass",IF(M205&gt;0,"Fail","N/A"))))))))))</f>
        <v>Pass</v>
      </c>
    </row>
    <row r="206" spans="1:20" x14ac:dyDescent="0.25">
      <c r="A206" s="1" t="s">
        <v>56</v>
      </c>
      <c r="B206" s="29" t="s">
        <v>59</v>
      </c>
      <c r="C206" s="28">
        <v>5.333333333333333</v>
      </c>
      <c r="D206" s="28">
        <v>10.666666666666666</v>
      </c>
      <c r="E206" s="28">
        <v>3.6666666666666665</v>
      </c>
      <c r="F206" s="28">
        <f>(((SUM(First_Semester_Information_Systems_Engineering[[#This Row],[Quiz 1]:[Quiz 3]]))/SUM($C$63:$E$63))*$F$63)</f>
        <v>6.5555555555555562</v>
      </c>
      <c r="G206" s="27">
        <f>ROUND(First_Semester_Information_Systems_Engineering[[#This Row],[Quiz Average]],0)</f>
        <v>7</v>
      </c>
      <c r="H206" s="31">
        <v>5</v>
      </c>
      <c r="I206" s="28">
        <v>9.5</v>
      </c>
      <c r="J206" s="28">
        <v>33.5</v>
      </c>
      <c r="K206" s="28">
        <f>SUM(First_Semester_Information_Systems_Engineering[[#This Row],[Assignment]:[Final]])</f>
        <v>43</v>
      </c>
      <c r="L206" s="42">
        <f>ROUND(First_Semester_Information_Systems_Engineering[[#This Row],[Ass &amp; Final]],0)</f>
        <v>43</v>
      </c>
      <c r="M206" s="42">
        <f t="shared" ref="M206:M232" si="19">SUM(G206,H206,L206)</f>
        <v>55</v>
      </c>
      <c r="N206" s="46" t="str">
        <f t="shared" ref="N206:N232" si="20">IF(M206&gt;79,"A+",IF(M206&gt;74,"A",IF(M206&gt;69,"A-",IF(M206&gt;64,"B+",IF(M206&gt;59,"B",IF(M206&gt;54,"B-",IF(M206&gt;49,"C+",IF(M206&gt;44,"C",IF(M206&gt;39,"D",IF(M206&gt;0,"F","N/A"))))))))))</f>
        <v>B-</v>
      </c>
      <c r="O206" s="44" t="str">
        <f t="shared" ref="O206:O232" si="21">IF(M206&gt;79,"4.00",IF(M206&gt;74,"3.75",IF(M206&gt;69,"3.50",IF(M206&gt;64,"3.25",IF(M206&gt;59,"3.00",IF(M206&gt;54,"2.75",IF(M206&gt;49,"2.50",IF(M206&gt;44,"2.25",IF(M206&gt;39,"2.00",IF(M206&gt;0,"0.00","N/A"))))))))))</f>
        <v>2.75</v>
      </c>
      <c r="P206" s="79" t="str">
        <f t="shared" ref="P206:P232" si="22">IF(M206&gt;79,"Outstanding",IF(M206&gt;74,"Excellent",IF(M206&gt;69,"Very Good",IF(M206&gt;64,"Good",IF(M206&gt;59,"Satisfactory",IF(M206&gt;54,"Above Average",IF(M206&gt;49,"Average",IF(M206&gt;44,"Bellow Average",IF(M206&gt;39,"Pass",IF(M206&gt;0,"Fail","N/A"))))))))))</f>
        <v>Above Average</v>
      </c>
    </row>
    <row r="207" spans="1:20" x14ac:dyDescent="0.25">
      <c r="A207" s="1" t="s">
        <v>1</v>
      </c>
      <c r="B207" s="29" t="s">
        <v>27</v>
      </c>
      <c r="C207" s="28">
        <v>3.3333333333333335</v>
      </c>
      <c r="D207" s="28">
        <v>14.333333333333334</v>
      </c>
      <c r="E207" s="28">
        <v>10.666666666666666</v>
      </c>
      <c r="F207" s="28">
        <f>(((SUM(First_Semester_Information_Systems_Engineering[[#This Row],[Quiz 1]:[Quiz 3]]))/SUM($C$63:$E$63))*$F$63)</f>
        <v>9.4444444444444446</v>
      </c>
      <c r="G207" s="27">
        <f>ROUND(First_Semester_Information_Systems_Engineering[[#This Row],[Quiz Average]],0)</f>
        <v>9</v>
      </c>
      <c r="H207" s="31">
        <v>5</v>
      </c>
      <c r="I207" s="28">
        <v>15.5</v>
      </c>
      <c r="J207" s="28">
        <v>21</v>
      </c>
      <c r="K207" s="28">
        <f>SUM(First_Semester_Information_Systems_Engineering[[#This Row],[Assignment]:[Final]])</f>
        <v>36.5</v>
      </c>
      <c r="L207" s="42">
        <f>ROUND(First_Semester_Information_Systems_Engineering[[#This Row],[Ass &amp; Final]],0)</f>
        <v>37</v>
      </c>
      <c r="M207" s="42">
        <f t="shared" si="19"/>
        <v>51</v>
      </c>
      <c r="N207" s="46" t="str">
        <f t="shared" si="20"/>
        <v>C+</v>
      </c>
      <c r="O207" s="44" t="str">
        <f t="shared" si="21"/>
        <v>2.50</v>
      </c>
      <c r="P207" s="34" t="str">
        <f t="shared" si="22"/>
        <v>Average</v>
      </c>
    </row>
    <row r="208" spans="1:20" x14ac:dyDescent="0.25">
      <c r="A208" s="1" t="s">
        <v>2</v>
      </c>
      <c r="B208" s="29" t="s">
        <v>28</v>
      </c>
      <c r="C208" s="28">
        <v>12</v>
      </c>
      <c r="D208" s="28">
        <v>8.3333333333333339</v>
      </c>
      <c r="E208" s="28">
        <v>1</v>
      </c>
      <c r="F208" s="28">
        <f>(((SUM(First_Semester_Information_Systems_Engineering[[#This Row],[Quiz 1]:[Quiz 3]]))/SUM($C$63:$E$63))*$F$63)</f>
        <v>7.1111111111111125</v>
      </c>
      <c r="G208" s="27">
        <f>ROUND(First_Semester_Information_Systems_Engineering[[#This Row],[Quiz Average]],0)</f>
        <v>7</v>
      </c>
      <c r="H208" s="31">
        <v>2</v>
      </c>
      <c r="I208" s="28">
        <v>27.5</v>
      </c>
      <c r="J208" s="28">
        <v>6.5</v>
      </c>
      <c r="K208" s="28">
        <f>SUM(First_Semester_Information_Systems_Engineering[[#This Row],[Assignment]:[Final]])</f>
        <v>34</v>
      </c>
      <c r="L208" s="42">
        <f>ROUND(First_Semester_Information_Systems_Engineering[[#This Row],[Ass &amp; Final]],0)</f>
        <v>34</v>
      </c>
      <c r="M208" s="42">
        <f t="shared" si="19"/>
        <v>43</v>
      </c>
      <c r="N208" s="46" t="str">
        <f t="shared" si="20"/>
        <v>D</v>
      </c>
      <c r="O208" s="44" t="str">
        <f t="shared" si="21"/>
        <v>2.00</v>
      </c>
      <c r="P208" s="34" t="str">
        <f t="shared" si="22"/>
        <v>Pass</v>
      </c>
    </row>
    <row r="209" spans="1:21" x14ac:dyDescent="0.25">
      <c r="A209" s="1" t="s">
        <v>3</v>
      </c>
      <c r="B209" s="29" t="s">
        <v>29</v>
      </c>
      <c r="C209" s="28">
        <v>14.666666666666666</v>
      </c>
      <c r="D209" s="28">
        <v>10</v>
      </c>
      <c r="E209" s="28">
        <v>13.333333333333334</v>
      </c>
      <c r="F209" s="28">
        <f>(((SUM(First_Semester_Information_Systems_Engineering[[#This Row],[Quiz 1]:[Quiz 3]]))/SUM($C$63:$E$63))*$F$63)</f>
        <v>12.666666666666666</v>
      </c>
      <c r="G209" s="27">
        <f>ROUND(First_Semester_Information_Systems_Engineering[[#This Row],[Quiz Average]],0)</f>
        <v>13</v>
      </c>
      <c r="H209" s="31">
        <v>5</v>
      </c>
      <c r="I209" s="28">
        <v>18.5</v>
      </c>
      <c r="J209" s="28">
        <v>23.5</v>
      </c>
      <c r="K209" s="28">
        <f>SUM(First_Semester_Information_Systems_Engineering[[#This Row],[Assignment]:[Final]])</f>
        <v>42</v>
      </c>
      <c r="L209" s="42">
        <f>ROUND(First_Semester_Information_Systems_Engineering[[#This Row],[Ass &amp; Final]],0)</f>
        <v>42</v>
      </c>
      <c r="M209" s="42">
        <f t="shared" si="19"/>
        <v>60</v>
      </c>
      <c r="N209" s="46" t="str">
        <f t="shared" si="20"/>
        <v>B</v>
      </c>
      <c r="O209" s="44" t="str">
        <f t="shared" si="21"/>
        <v>3.00</v>
      </c>
      <c r="P209" s="34" t="str">
        <f t="shared" si="22"/>
        <v>Satisfactory</v>
      </c>
    </row>
    <row r="210" spans="1:21" x14ac:dyDescent="0.25">
      <c r="A210" s="1" t="s">
        <v>4</v>
      </c>
      <c r="B210" s="29" t="s">
        <v>30</v>
      </c>
      <c r="C210" s="28">
        <v>11</v>
      </c>
      <c r="D210" s="28">
        <v>10.333333333333334</v>
      </c>
      <c r="E210" s="28">
        <v>4</v>
      </c>
      <c r="F210" s="28">
        <f>(((SUM(First_Semester_Information_Systems_Engineering[[#This Row],[Quiz 1]:[Quiz 3]]))/SUM($C$63:$E$63))*$F$63)</f>
        <v>8.4444444444444446</v>
      </c>
      <c r="G210" s="27">
        <f>ROUND(First_Semester_Information_Systems_Engineering[[#This Row],[Quiz Average]],0)</f>
        <v>8</v>
      </c>
      <c r="H210" s="31">
        <v>4</v>
      </c>
      <c r="I210" s="28">
        <v>28</v>
      </c>
      <c r="J210" s="28">
        <v>25.5</v>
      </c>
      <c r="K210" s="28">
        <f>SUM(First_Semester_Information_Systems_Engineering[[#This Row],[Assignment]:[Final]])</f>
        <v>53.5</v>
      </c>
      <c r="L210" s="42">
        <f>ROUND(First_Semester_Information_Systems_Engineering[[#This Row],[Ass &amp; Final]],0)</f>
        <v>54</v>
      </c>
      <c r="M210" s="42">
        <f t="shared" si="19"/>
        <v>66</v>
      </c>
      <c r="N210" s="46" t="str">
        <f t="shared" si="20"/>
        <v>B+</v>
      </c>
      <c r="O210" s="44" t="str">
        <f t="shared" si="21"/>
        <v>3.25</v>
      </c>
      <c r="P210" s="34" t="str">
        <f t="shared" si="22"/>
        <v>Good</v>
      </c>
    </row>
    <row r="211" spans="1:21" x14ac:dyDescent="0.25">
      <c r="A211" s="210" t="s">
        <v>5</v>
      </c>
      <c r="B211" s="211" t="s">
        <v>31</v>
      </c>
      <c r="C211" s="209"/>
      <c r="D211" s="209"/>
      <c r="E211" s="209"/>
      <c r="F211" s="209"/>
      <c r="G211" s="212"/>
      <c r="H211" s="213"/>
      <c r="I211" s="209"/>
      <c r="J211" s="209"/>
      <c r="K211" s="209"/>
      <c r="L211" s="214"/>
      <c r="M211" s="214"/>
      <c r="N211" s="215"/>
      <c r="O211" s="216"/>
      <c r="P211" s="217"/>
      <c r="Q211" s="21"/>
      <c r="R211" s="21"/>
      <c r="S211" s="21"/>
      <c r="T211" s="21"/>
      <c r="U211" s="21"/>
    </row>
    <row r="212" spans="1:21" x14ac:dyDescent="0.25">
      <c r="A212" s="1" t="s">
        <v>6</v>
      </c>
      <c r="B212" s="29" t="s">
        <v>32</v>
      </c>
      <c r="C212" s="28">
        <v>4</v>
      </c>
      <c r="D212" s="28">
        <v>15</v>
      </c>
      <c r="E212" s="28">
        <v>11.666666666666666</v>
      </c>
      <c r="F212" s="28">
        <f>(((SUM(First_Semester_Information_Systems_Engineering[[#This Row],[Quiz 1]:[Quiz 3]]))/SUM($C$63:$E$63))*$F$63)</f>
        <v>10.222222222222221</v>
      </c>
      <c r="G212" s="27">
        <f>ROUND(First_Semester_Information_Systems_Engineering[[#This Row],[Quiz Average]],0)</f>
        <v>10</v>
      </c>
      <c r="H212" s="31">
        <v>6</v>
      </c>
      <c r="I212" s="28">
        <v>21.5</v>
      </c>
      <c r="J212" s="28">
        <v>33.5</v>
      </c>
      <c r="K212" s="28">
        <f>SUM(First_Semester_Information_Systems_Engineering[[#This Row],[Assignment]:[Final]])</f>
        <v>55</v>
      </c>
      <c r="L212" s="42">
        <f>ROUND(First_Semester_Information_Systems_Engineering[[#This Row],[Ass &amp; Final]],0)</f>
        <v>55</v>
      </c>
      <c r="M212" s="42">
        <f t="shared" si="19"/>
        <v>71</v>
      </c>
      <c r="N212" s="46" t="str">
        <f t="shared" si="20"/>
        <v>A-</v>
      </c>
      <c r="O212" s="44" t="str">
        <f t="shared" si="21"/>
        <v>3.50</v>
      </c>
      <c r="P212" s="34" t="str">
        <f t="shared" si="22"/>
        <v>Very Good</v>
      </c>
      <c r="Q212" s="21"/>
      <c r="R212" s="21"/>
      <c r="S212" s="21"/>
      <c r="T212" s="21"/>
      <c r="U212" s="21"/>
    </row>
    <row r="213" spans="1:21" x14ac:dyDescent="0.25">
      <c r="A213" s="1" t="s">
        <v>7</v>
      </c>
      <c r="B213" s="29" t="s">
        <v>33</v>
      </c>
      <c r="C213" s="28">
        <v>12.333333333333334</v>
      </c>
      <c r="D213" s="28">
        <v>8.3333333333333339</v>
      </c>
      <c r="E213" s="28">
        <v>5.333333333333333</v>
      </c>
      <c r="F213" s="28">
        <f>(((SUM(First_Semester_Information_Systems_Engineering[[#This Row],[Quiz 1]:[Quiz 3]]))/SUM($C$63:$E$63))*$F$63)</f>
        <v>8.6666666666666661</v>
      </c>
      <c r="G213" s="27">
        <f>ROUND(First_Semester_Information_Systems_Engineering[[#This Row],[Quiz Average]],0)</f>
        <v>9</v>
      </c>
      <c r="H213" s="31">
        <v>3</v>
      </c>
      <c r="I213" s="28">
        <v>27</v>
      </c>
      <c r="J213" s="28">
        <v>25</v>
      </c>
      <c r="K213" s="28">
        <f>SUM(First_Semester_Information_Systems_Engineering[[#This Row],[Assignment]:[Final]])</f>
        <v>52</v>
      </c>
      <c r="L213" s="42">
        <f>ROUND(First_Semester_Information_Systems_Engineering[[#This Row],[Ass &amp; Final]],0)</f>
        <v>52</v>
      </c>
      <c r="M213" s="42">
        <f t="shared" si="19"/>
        <v>64</v>
      </c>
      <c r="N213" s="46" t="str">
        <f t="shared" si="20"/>
        <v>B</v>
      </c>
      <c r="O213" s="44" t="str">
        <f t="shared" si="21"/>
        <v>3.00</v>
      </c>
      <c r="P213" s="34" t="str">
        <f t="shared" si="22"/>
        <v>Satisfactory</v>
      </c>
      <c r="Q213" s="21"/>
      <c r="R213" s="21"/>
      <c r="S213" s="21"/>
      <c r="T213" s="21"/>
      <c r="U213" s="21"/>
    </row>
    <row r="214" spans="1:21" x14ac:dyDescent="0.25">
      <c r="A214" s="1" t="s">
        <v>8</v>
      </c>
      <c r="B214" s="29" t="s">
        <v>34</v>
      </c>
      <c r="C214" s="28">
        <v>10.333333333333334</v>
      </c>
      <c r="D214" s="28">
        <v>12</v>
      </c>
      <c r="E214" s="28">
        <v>5</v>
      </c>
      <c r="F214" s="28">
        <f>(((SUM(First_Semester_Information_Systems_Engineering[[#This Row],[Quiz 1]:[Quiz 3]]))/SUM($C$63:$E$63))*$F$63)</f>
        <v>9.1111111111111125</v>
      </c>
      <c r="G214" s="27">
        <f>ROUND(First_Semester_Information_Systems_Engineering[[#This Row],[Quiz Average]],0)</f>
        <v>9</v>
      </c>
      <c r="H214" s="31">
        <v>8</v>
      </c>
      <c r="I214" s="28">
        <v>13.5</v>
      </c>
      <c r="J214" s="28">
        <v>7</v>
      </c>
      <c r="K214" s="28">
        <f>SUM(First_Semester_Information_Systems_Engineering[[#This Row],[Assignment]:[Final]])</f>
        <v>20.5</v>
      </c>
      <c r="L214" s="42">
        <f>ROUND(First_Semester_Information_Systems_Engineering[[#This Row],[Ass &amp; Final]],0)</f>
        <v>21</v>
      </c>
      <c r="M214" s="42">
        <f t="shared" si="19"/>
        <v>38</v>
      </c>
      <c r="N214" s="46" t="str">
        <f t="shared" si="20"/>
        <v>F</v>
      </c>
      <c r="O214" s="44" t="str">
        <f t="shared" si="21"/>
        <v>0.00</v>
      </c>
      <c r="P214" s="34" t="str">
        <f t="shared" si="22"/>
        <v>Fail</v>
      </c>
      <c r="Q214" s="21"/>
      <c r="R214" s="21"/>
      <c r="S214" s="21"/>
      <c r="T214" s="21"/>
      <c r="U214" s="21"/>
    </row>
    <row r="215" spans="1:21" x14ac:dyDescent="0.25">
      <c r="A215" s="1" t="s">
        <v>9</v>
      </c>
      <c r="B215" s="29" t="s">
        <v>35</v>
      </c>
      <c r="C215" s="28">
        <v>3.6666666666666665</v>
      </c>
      <c r="D215" s="28">
        <v>13.333333333333334</v>
      </c>
      <c r="E215" s="28">
        <v>12.666666666666666</v>
      </c>
      <c r="F215" s="28">
        <f>(((SUM(First_Semester_Information_Systems_Engineering[[#This Row],[Quiz 1]:[Quiz 3]]))/SUM($C$63:$E$63))*$F$63)</f>
        <v>9.8888888888888875</v>
      </c>
      <c r="G215" s="27">
        <f>ROUND(First_Semester_Information_Systems_Engineering[[#This Row],[Quiz Average]],0)</f>
        <v>10</v>
      </c>
      <c r="H215" s="31">
        <v>9</v>
      </c>
      <c r="I215" s="28">
        <v>15.5</v>
      </c>
      <c r="J215" s="28">
        <v>25</v>
      </c>
      <c r="K215" s="28">
        <f>SUM(First_Semester_Information_Systems_Engineering[[#This Row],[Assignment]:[Final]])</f>
        <v>40.5</v>
      </c>
      <c r="L215" s="42">
        <f>ROUND(First_Semester_Information_Systems_Engineering[[#This Row],[Ass &amp; Final]],0)</f>
        <v>41</v>
      </c>
      <c r="M215" s="42">
        <f t="shared" si="19"/>
        <v>60</v>
      </c>
      <c r="N215" s="46" t="str">
        <f t="shared" si="20"/>
        <v>B</v>
      </c>
      <c r="O215" s="44" t="str">
        <f t="shared" si="21"/>
        <v>3.00</v>
      </c>
      <c r="P215" s="34" t="str">
        <f t="shared" si="22"/>
        <v>Satisfactory</v>
      </c>
      <c r="Q215" s="21"/>
      <c r="R215" s="21"/>
      <c r="S215" s="21"/>
      <c r="T215" s="21"/>
      <c r="U215" s="21"/>
    </row>
    <row r="216" spans="1:21" x14ac:dyDescent="0.25">
      <c r="A216" s="1" t="s">
        <v>10</v>
      </c>
      <c r="B216" s="29" t="s">
        <v>36</v>
      </c>
      <c r="C216" s="28">
        <v>12.333333333333334</v>
      </c>
      <c r="D216" s="28">
        <v>14.666666666666666</v>
      </c>
      <c r="E216" s="28">
        <v>12.333333333333334</v>
      </c>
      <c r="F216" s="28">
        <f>(((SUM(First_Semester_Information_Systems_Engineering[[#This Row],[Quiz 1]:[Quiz 3]]))/SUM($C$63:$E$63))*$F$63)</f>
        <v>13.111111111111112</v>
      </c>
      <c r="G216" s="27">
        <f>ROUND(First_Semester_Information_Systems_Engineering[[#This Row],[Quiz Average]],0)</f>
        <v>13</v>
      </c>
      <c r="H216" s="31">
        <v>7</v>
      </c>
      <c r="I216" s="28">
        <v>25</v>
      </c>
      <c r="J216" s="28">
        <v>28</v>
      </c>
      <c r="K216" s="28">
        <f>SUM(First_Semester_Information_Systems_Engineering[[#This Row],[Assignment]:[Final]])</f>
        <v>53</v>
      </c>
      <c r="L216" s="42">
        <f>ROUND(First_Semester_Information_Systems_Engineering[[#This Row],[Ass &amp; Final]],0)</f>
        <v>53</v>
      </c>
      <c r="M216" s="42">
        <f t="shared" si="19"/>
        <v>73</v>
      </c>
      <c r="N216" s="46" t="str">
        <f t="shared" si="20"/>
        <v>A-</v>
      </c>
      <c r="O216" s="44" t="str">
        <f t="shared" si="21"/>
        <v>3.50</v>
      </c>
      <c r="P216" s="34" t="str">
        <f t="shared" si="22"/>
        <v>Very Good</v>
      </c>
      <c r="Q216" s="21"/>
      <c r="R216" s="21"/>
      <c r="S216" s="21"/>
      <c r="T216" s="21"/>
      <c r="U216" s="21"/>
    </row>
    <row r="217" spans="1:21" x14ac:dyDescent="0.25">
      <c r="A217" s="210" t="s">
        <v>11</v>
      </c>
      <c r="B217" s="211" t="s">
        <v>31</v>
      </c>
      <c r="C217" s="209"/>
      <c r="D217" s="209"/>
      <c r="E217" s="209"/>
      <c r="F217" s="209"/>
      <c r="G217" s="212"/>
      <c r="H217" s="213"/>
      <c r="I217" s="209"/>
      <c r="J217" s="209"/>
      <c r="K217" s="209"/>
      <c r="L217" s="214"/>
      <c r="M217" s="214"/>
      <c r="N217" s="215"/>
      <c r="O217" s="216"/>
      <c r="P217" s="217"/>
      <c r="Q217" s="21"/>
      <c r="R217" s="21"/>
      <c r="S217" s="21"/>
      <c r="T217" s="21"/>
      <c r="U217" s="21"/>
    </row>
    <row r="218" spans="1:21" x14ac:dyDescent="0.25">
      <c r="A218" s="1" t="s">
        <v>12</v>
      </c>
      <c r="B218" s="29" t="s">
        <v>37</v>
      </c>
      <c r="C218" s="28">
        <v>5</v>
      </c>
      <c r="D218" s="28">
        <v>3.6666666666666665</v>
      </c>
      <c r="E218" s="28">
        <v>1.3333333333333333</v>
      </c>
      <c r="F218" s="28">
        <f>(((SUM(First_Semester_Information_Systems_Engineering[[#This Row],[Quiz 1]:[Quiz 3]]))/SUM($C$63:$E$63))*$F$63)</f>
        <v>3.333333333333333</v>
      </c>
      <c r="G218" s="27">
        <f>ROUND(First_Semester_Information_Systems_Engineering[[#This Row],[Quiz Average]],0)</f>
        <v>3</v>
      </c>
      <c r="H218" s="31">
        <v>6</v>
      </c>
      <c r="I218" s="28">
        <v>7</v>
      </c>
      <c r="J218" s="28">
        <v>14</v>
      </c>
      <c r="K218" s="28">
        <f>SUM(First_Semester_Information_Systems_Engineering[[#This Row],[Assignment]:[Final]])</f>
        <v>21</v>
      </c>
      <c r="L218" s="42">
        <f>ROUND(First_Semester_Information_Systems_Engineering[[#This Row],[Ass &amp; Final]],0)</f>
        <v>21</v>
      </c>
      <c r="M218" s="42">
        <f t="shared" si="19"/>
        <v>30</v>
      </c>
      <c r="N218" s="46" t="str">
        <f t="shared" si="20"/>
        <v>F</v>
      </c>
      <c r="O218" s="44" t="str">
        <f t="shared" si="21"/>
        <v>0.00</v>
      </c>
      <c r="P218" s="34" t="str">
        <f t="shared" si="22"/>
        <v>Fail</v>
      </c>
      <c r="Q218" s="21"/>
      <c r="R218" s="21"/>
      <c r="S218" s="21"/>
      <c r="T218" s="21"/>
      <c r="U218" s="21"/>
    </row>
    <row r="219" spans="1:21" x14ac:dyDescent="0.25">
      <c r="A219" s="1" t="s">
        <v>13</v>
      </c>
      <c r="B219" s="29" t="s">
        <v>38</v>
      </c>
      <c r="C219" s="28">
        <v>14</v>
      </c>
      <c r="D219" s="28">
        <v>2.3333333333333335</v>
      </c>
      <c r="E219" s="28">
        <v>11.666666666666666</v>
      </c>
      <c r="F219" s="28">
        <f>(((SUM(First_Semester_Information_Systems_Engineering[[#This Row],[Quiz 1]:[Quiz 3]]))/SUM($C$63:$E$63))*$F$63)</f>
        <v>9.3333333333333339</v>
      </c>
      <c r="G219" s="27">
        <f>ROUND(First_Semester_Information_Systems_Engineering[[#This Row],[Quiz Average]],0)</f>
        <v>9</v>
      </c>
      <c r="H219" s="31">
        <v>5</v>
      </c>
      <c r="I219" s="28">
        <v>11.5</v>
      </c>
      <c r="J219" s="28">
        <v>4.5</v>
      </c>
      <c r="K219" s="28">
        <f>SUM(First_Semester_Information_Systems_Engineering[[#This Row],[Assignment]:[Final]])</f>
        <v>16</v>
      </c>
      <c r="L219" s="42">
        <f>ROUND(First_Semester_Information_Systems_Engineering[[#This Row],[Ass &amp; Final]],0)</f>
        <v>16</v>
      </c>
      <c r="M219" s="42">
        <f t="shared" si="19"/>
        <v>30</v>
      </c>
      <c r="N219" s="46" t="str">
        <f t="shared" si="20"/>
        <v>F</v>
      </c>
      <c r="O219" s="44" t="str">
        <f t="shared" si="21"/>
        <v>0.00</v>
      </c>
      <c r="P219" s="34" t="str">
        <f t="shared" si="22"/>
        <v>Fail</v>
      </c>
      <c r="Q219" s="21"/>
      <c r="R219" s="21"/>
      <c r="S219" s="21"/>
      <c r="T219" s="21"/>
      <c r="U219" s="21"/>
    </row>
    <row r="220" spans="1:21" x14ac:dyDescent="0.25">
      <c r="A220" s="1" t="s">
        <v>14</v>
      </c>
      <c r="B220" s="29" t="s">
        <v>39</v>
      </c>
      <c r="C220" s="28">
        <v>11.333333333333334</v>
      </c>
      <c r="D220" s="28">
        <v>10.333333333333334</v>
      </c>
      <c r="E220" s="28">
        <v>11.666666666666666</v>
      </c>
      <c r="F220" s="28">
        <f>(((SUM(First_Semester_Information_Systems_Engineering[[#This Row],[Quiz 1]:[Quiz 3]]))/SUM($C$63:$E$63))*$F$63)</f>
        <v>11.111111111111112</v>
      </c>
      <c r="G220" s="27">
        <f>ROUND(First_Semester_Information_Systems_Engineering[[#This Row],[Quiz Average]],0)</f>
        <v>11</v>
      </c>
      <c r="H220" s="31">
        <v>7</v>
      </c>
      <c r="I220" s="28">
        <v>20.5</v>
      </c>
      <c r="J220" s="28">
        <v>3.5</v>
      </c>
      <c r="K220" s="28">
        <f>SUM(First_Semester_Information_Systems_Engineering[[#This Row],[Assignment]:[Final]])</f>
        <v>24</v>
      </c>
      <c r="L220" s="42">
        <f>ROUND(First_Semester_Information_Systems_Engineering[[#This Row],[Ass &amp; Final]],0)</f>
        <v>24</v>
      </c>
      <c r="M220" s="42">
        <f t="shared" si="19"/>
        <v>42</v>
      </c>
      <c r="N220" s="46" t="str">
        <f t="shared" si="20"/>
        <v>D</v>
      </c>
      <c r="O220" s="44" t="str">
        <f t="shared" si="21"/>
        <v>2.00</v>
      </c>
      <c r="P220" s="34" t="str">
        <f t="shared" si="22"/>
        <v>Pass</v>
      </c>
      <c r="Q220" s="21"/>
      <c r="R220" s="21"/>
      <c r="S220" s="21"/>
      <c r="T220" s="21"/>
      <c r="U220" s="21"/>
    </row>
    <row r="221" spans="1:21" x14ac:dyDescent="0.25">
      <c r="A221" s="1" t="s">
        <v>15</v>
      </c>
      <c r="B221" s="29" t="s">
        <v>40</v>
      </c>
      <c r="C221" s="28">
        <v>8.6666666666666661</v>
      </c>
      <c r="D221" s="28">
        <v>3</v>
      </c>
      <c r="E221" s="28">
        <v>10.666666666666666</v>
      </c>
      <c r="F221" s="28">
        <f>(((SUM(First_Semester_Information_Systems_Engineering[[#This Row],[Quiz 1]:[Quiz 3]]))/SUM($C$63:$E$63))*$F$63)</f>
        <v>7.4444444444444446</v>
      </c>
      <c r="G221" s="27">
        <f>ROUND(First_Semester_Information_Systems_Engineering[[#This Row],[Quiz Average]],0)</f>
        <v>7</v>
      </c>
      <c r="H221" s="31">
        <v>10</v>
      </c>
      <c r="I221" s="28">
        <v>15</v>
      </c>
      <c r="J221" s="28">
        <v>36.5</v>
      </c>
      <c r="K221" s="28">
        <f>SUM(First_Semester_Information_Systems_Engineering[[#This Row],[Assignment]:[Final]])</f>
        <v>51.5</v>
      </c>
      <c r="L221" s="42">
        <f>ROUND(First_Semester_Information_Systems_Engineering[[#This Row],[Ass &amp; Final]],0)</f>
        <v>52</v>
      </c>
      <c r="M221" s="42">
        <f t="shared" si="19"/>
        <v>69</v>
      </c>
      <c r="N221" s="46" t="str">
        <f t="shared" si="20"/>
        <v>B+</v>
      </c>
      <c r="O221" s="44" t="str">
        <f t="shared" si="21"/>
        <v>3.25</v>
      </c>
      <c r="P221" s="34" t="str">
        <f t="shared" si="22"/>
        <v>Good</v>
      </c>
      <c r="Q221" s="21"/>
      <c r="R221" s="21"/>
      <c r="S221" s="21"/>
      <c r="T221" s="21"/>
      <c r="U221" s="21"/>
    </row>
    <row r="222" spans="1:21" x14ac:dyDescent="0.25">
      <c r="A222" s="210" t="s">
        <v>16</v>
      </c>
      <c r="B222" s="211" t="s">
        <v>31</v>
      </c>
      <c r="C222" s="209"/>
      <c r="D222" s="209"/>
      <c r="E222" s="209"/>
      <c r="F222" s="209"/>
      <c r="G222" s="212"/>
      <c r="H222" s="213"/>
      <c r="I222" s="209"/>
      <c r="J222" s="209"/>
      <c r="K222" s="209"/>
      <c r="L222" s="214"/>
      <c r="M222" s="214"/>
      <c r="N222" s="215"/>
      <c r="O222" s="216"/>
      <c r="P222" s="217"/>
      <c r="Q222" s="21"/>
      <c r="R222" s="21"/>
      <c r="S222" s="21"/>
      <c r="T222" s="21"/>
      <c r="U222" s="21"/>
    </row>
    <row r="223" spans="1:21" x14ac:dyDescent="0.25">
      <c r="A223" s="1" t="s">
        <v>17</v>
      </c>
      <c r="B223" s="29" t="s">
        <v>41</v>
      </c>
      <c r="C223" s="28">
        <v>5</v>
      </c>
      <c r="D223" s="28">
        <v>9.6666666666666661</v>
      </c>
      <c r="E223" s="28">
        <v>1.3333333333333333</v>
      </c>
      <c r="F223" s="28">
        <f>(((SUM(First_Semester_Information_Systems_Engineering[[#This Row],[Quiz 1]:[Quiz 3]]))/SUM($C$63:$E$63))*$F$63)</f>
        <v>5.3333333333333339</v>
      </c>
      <c r="G223" s="27">
        <f>ROUND(First_Semester_Information_Systems_Engineering[[#This Row],[Quiz Average]],0)</f>
        <v>5</v>
      </c>
      <c r="H223" s="31">
        <v>9</v>
      </c>
      <c r="I223" s="28">
        <v>16</v>
      </c>
      <c r="J223" s="28">
        <v>34</v>
      </c>
      <c r="K223" s="28">
        <f>SUM(First_Semester_Information_Systems_Engineering[[#This Row],[Assignment]:[Final]])</f>
        <v>50</v>
      </c>
      <c r="L223" s="42">
        <f>ROUND(First_Semester_Information_Systems_Engineering[[#This Row],[Ass &amp; Final]],0)</f>
        <v>50</v>
      </c>
      <c r="M223" s="42">
        <f t="shared" si="19"/>
        <v>64</v>
      </c>
      <c r="N223" s="46" t="str">
        <f t="shared" si="20"/>
        <v>B</v>
      </c>
      <c r="O223" s="44" t="str">
        <f t="shared" si="21"/>
        <v>3.00</v>
      </c>
      <c r="P223" s="34" t="str">
        <f t="shared" si="22"/>
        <v>Satisfactory</v>
      </c>
    </row>
    <row r="224" spans="1:21" x14ac:dyDescent="0.25">
      <c r="A224" s="1" t="s">
        <v>18</v>
      </c>
      <c r="B224" s="29" t="s">
        <v>42</v>
      </c>
      <c r="C224" s="28">
        <v>1.3333333333333333</v>
      </c>
      <c r="D224" s="28">
        <v>4.666666666666667</v>
      </c>
      <c r="E224" s="28">
        <v>9.3333333333333339</v>
      </c>
      <c r="F224" s="28">
        <f>(((SUM(First_Semester_Information_Systems_Engineering[[#This Row],[Quiz 1]:[Quiz 3]]))/SUM($C$63:$E$63))*$F$63)</f>
        <v>5.1111111111111107</v>
      </c>
      <c r="G224" s="27">
        <f>ROUND(First_Semester_Information_Systems_Engineering[[#This Row],[Quiz Average]],0)</f>
        <v>5</v>
      </c>
      <c r="H224" s="31">
        <v>2</v>
      </c>
      <c r="I224" s="28">
        <v>19.5</v>
      </c>
      <c r="J224" s="28">
        <v>9</v>
      </c>
      <c r="K224" s="28">
        <f>SUM(First_Semester_Information_Systems_Engineering[[#This Row],[Assignment]:[Final]])</f>
        <v>28.5</v>
      </c>
      <c r="L224" s="42">
        <f>ROUND(First_Semester_Information_Systems_Engineering[[#This Row],[Ass &amp; Final]],0)</f>
        <v>29</v>
      </c>
      <c r="M224" s="42">
        <f t="shared" si="19"/>
        <v>36</v>
      </c>
      <c r="N224" s="46" t="str">
        <f t="shared" si="20"/>
        <v>F</v>
      </c>
      <c r="O224" s="44" t="str">
        <f t="shared" si="21"/>
        <v>0.00</v>
      </c>
      <c r="P224" s="34" t="str">
        <f t="shared" si="22"/>
        <v>Fail</v>
      </c>
    </row>
    <row r="225" spans="1:16" x14ac:dyDescent="0.25">
      <c r="A225" s="1" t="s">
        <v>19</v>
      </c>
      <c r="B225" s="29" t="s">
        <v>43</v>
      </c>
      <c r="C225" s="28">
        <v>14</v>
      </c>
      <c r="D225" s="28">
        <v>13.333333333333334</v>
      </c>
      <c r="E225" s="28">
        <v>8.3333333333333339</v>
      </c>
      <c r="F225" s="28">
        <f>(((SUM(First_Semester_Information_Systems_Engineering[[#This Row],[Quiz 1]:[Quiz 3]]))/SUM($C$63:$E$63))*$F$63)</f>
        <v>11.888888888888891</v>
      </c>
      <c r="G225" s="27">
        <f>ROUND(First_Semester_Information_Systems_Engineering[[#This Row],[Quiz Average]],0)</f>
        <v>12</v>
      </c>
      <c r="H225" s="31">
        <v>3</v>
      </c>
      <c r="I225" s="28">
        <v>33</v>
      </c>
      <c r="J225" s="28">
        <v>3.5</v>
      </c>
      <c r="K225" s="28">
        <f>SUM(First_Semester_Information_Systems_Engineering[[#This Row],[Assignment]:[Final]])</f>
        <v>36.5</v>
      </c>
      <c r="L225" s="42">
        <f>ROUND(First_Semester_Information_Systems_Engineering[[#This Row],[Ass &amp; Final]],0)</f>
        <v>37</v>
      </c>
      <c r="M225" s="42">
        <f t="shared" si="19"/>
        <v>52</v>
      </c>
      <c r="N225" s="46" t="str">
        <f t="shared" si="20"/>
        <v>C+</v>
      </c>
      <c r="O225" s="44" t="str">
        <f t="shared" si="21"/>
        <v>2.50</v>
      </c>
      <c r="P225" s="34" t="str">
        <f t="shared" si="22"/>
        <v>Average</v>
      </c>
    </row>
    <row r="226" spans="1:16" x14ac:dyDescent="0.25">
      <c r="A226" s="1" t="s">
        <v>23</v>
      </c>
      <c r="B226" s="29" t="s">
        <v>44</v>
      </c>
      <c r="C226" s="28">
        <v>14</v>
      </c>
      <c r="D226" s="28">
        <v>13.666666666666666</v>
      </c>
      <c r="E226" s="28">
        <v>10</v>
      </c>
      <c r="F226" s="28">
        <f>(((SUM(First_Semester_Information_Systems_Engineering[[#This Row],[Quiz 1]:[Quiz 3]]))/SUM($C$63:$E$63))*$F$63)</f>
        <v>12.555555555555555</v>
      </c>
      <c r="G226" s="27">
        <f>ROUND(First_Semester_Information_Systems_Engineering[[#This Row],[Quiz Average]],0)</f>
        <v>13</v>
      </c>
      <c r="H226" s="31">
        <v>3</v>
      </c>
      <c r="I226" s="28">
        <v>9</v>
      </c>
      <c r="J226" s="28">
        <v>28.5</v>
      </c>
      <c r="K226" s="28">
        <f>SUM(First_Semester_Information_Systems_Engineering[[#This Row],[Assignment]:[Final]])</f>
        <v>37.5</v>
      </c>
      <c r="L226" s="42">
        <f>ROUND(First_Semester_Information_Systems_Engineering[[#This Row],[Ass &amp; Final]],0)</f>
        <v>38</v>
      </c>
      <c r="M226" s="42">
        <f t="shared" si="19"/>
        <v>54</v>
      </c>
      <c r="N226" s="46" t="str">
        <f t="shared" si="20"/>
        <v>C+</v>
      </c>
      <c r="O226" s="44" t="str">
        <f t="shared" si="21"/>
        <v>2.50</v>
      </c>
      <c r="P226" s="34" t="str">
        <f t="shared" si="22"/>
        <v>Average</v>
      </c>
    </row>
    <row r="227" spans="1:16" x14ac:dyDescent="0.25">
      <c r="A227" s="1" t="s">
        <v>24</v>
      </c>
      <c r="B227" s="29" t="s">
        <v>45</v>
      </c>
      <c r="C227" s="28">
        <v>13.666666666666666</v>
      </c>
      <c r="D227" s="28">
        <v>14.666666666666666</v>
      </c>
      <c r="E227" s="28">
        <v>9.6666666666666661</v>
      </c>
      <c r="F227" s="28">
        <f>(((SUM(First_Semester_Information_Systems_Engineering[[#This Row],[Quiz 1]:[Quiz 3]]))/SUM($C$63:$E$63))*$F$63)</f>
        <v>12.666666666666666</v>
      </c>
      <c r="G227" s="27">
        <f>ROUND(First_Semester_Information_Systems_Engineering[[#This Row],[Quiz Average]],0)</f>
        <v>13</v>
      </c>
      <c r="H227" s="31">
        <v>8</v>
      </c>
      <c r="I227" s="28">
        <v>2.5</v>
      </c>
      <c r="J227" s="28">
        <v>5.5</v>
      </c>
      <c r="K227" s="28">
        <f>SUM(First_Semester_Information_Systems_Engineering[[#This Row],[Assignment]:[Final]])</f>
        <v>8</v>
      </c>
      <c r="L227" s="42">
        <f>ROUND(First_Semester_Information_Systems_Engineering[[#This Row],[Ass &amp; Final]],0)</f>
        <v>8</v>
      </c>
      <c r="M227" s="42">
        <f t="shared" si="19"/>
        <v>29</v>
      </c>
      <c r="N227" s="46" t="str">
        <f t="shared" si="20"/>
        <v>F</v>
      </c>
      <c r="O227" s="44" t="str">
        <f t="shared" si="21"/>
        <v>0.00</v>
      </c>
      <c r="P227" s="34" t="str">
        <f t="shared" si="22"/>
        <v>Fail</v>
      </c>
    </row>
    <row r="228" spans="1:16" x14ac:dyDescent="0.25">
      <c r="A228" s="1" t="s">
        <v>25</v>
      </c>
      <c r="B228" s="29" t="s">
        <v>46</v>
      </c>
      <c r="C228" s="28">
        <v>1.3333333333333333</v>
      </c>
      <c r="D228" s="28">
        <v>8</v>
      </c>
      <c r="E228" s="28">
        <v>3.6666666666666665</v>
      </c>
      <c r="F228" s="28">
        <f>(((SUM(First_Semester_Information_Systems_Engineering[[#This Row],[Quiz 1]:[Quiz 3]]))/SUM($C$63:$E$63))*$F$63)</f>
        <v>4.333333333333333</v>
      </c>
      <c r="G228" s="27">
        <f>ROUND(First_Semester_Information_Systems_Engineering[[#This Row],[Quiz Average]],0)</f>
        <v>4</v>
      </c>
      <c r="H228" s="31">
        <v>6</v>
      </c>
      <c r="I228" s="28">
        <v>24</v>
      </c>
      <c r="J228" s="28">
        <v>25</v>
      </c>
      <c r="K228" s="28">
        <f>SUM(First_Semester_Information_Systems_Engineering[[#This Row],[Assignment]:[Final]])</f>
        <v>49</v>
      </c>
      <c r="L228" s="42">
        <f>ROUND(First_Semester_Information_Systems_Engineering[[#This Row],[Ass &amp; Final]],0)</f>
        <v>49</v>
      </c>
      <c r="M228" s="42">
        <f t="shared" si="19"/>
        <v>59</v>
      </c>
      <c r="N228" s="46" t="str">
        <f t="shared" si="20"/>
        <v>B-</v>
      </c>
      <c r="O228" s="44" t="str">
        <f t="shared" si="21"/>
        <v>2.75</v>
      </c>
      <c r="P228" s="34" t="str">
        <f t="shared" si="22"/>
        <v>Above Average</v>
      </c>
    </row>
    <row r="229" spans="1:16" x14ac:dyDescent="0.25">
      <c r="A229" s="1" t="s">
        <v>26</v>
      </c>
      <c r="B229" s="29" t="s">
        <v>47</v>
      </c>
      <c r="C229" s="28">
        <v>2.3333333333333335</v>
      </c>
      <c r="D229" s="28">
        <v>13</v>
      </c>
      <c r="E229" s="28">
        <v>2</v>
      </c>
      <c r="F229" s="28">
        <f>(((SUM(First_Semester_Information_Systems_Engineering[[#This Row],[Quiz 1]:[Quiz 3]]))/SUM($C$63:$E$63))*$F$63)</f>
        <v>5.7777777777777786</v>
      </c>
      <c r="G229" s="27">
        <f>ROUND(First_Semester_Information_Systems_Engineering[[#This Row],[Quiz Average]],0)</f>
        <v>6</v>
      </c>
      <c r="H229" s="31">
        <v>6</v>
      </c>
      <c r="I229" s="28">
        <v>15.5</v>
      </c>
      <c r="J229" s="28">
        <v>31.5</v>
      </c>
      <c r="K229" s="28">
        <f>SUM(First_Semester_Information_Systems_Engineering[[#This Row],[Assignment]:[Final]])</f>
        <v>47</v>
      </c>
      <c r="L229" s="42">
        <f>ROUND(First_Semester_Information_Systems_Engineering[[#This Row],[Ass &amp; Final]],0)</f>
        <v>47</v>
      </c>
      <c r="M229" s="42">
        <f t="shared" si="19"/>
        <v>59</v>
      </c>
      <c r="N229" s="46" t="str">
        <f t="shared" si="20"/>
        <v>B-</v>
      </c>
      <c r="O229" s="44" t="str">
        <f t="shared" si="21"/>
        <v>2.75</v>
      </c>
      <c r="P229" s="34" t="str">
        <f t="shared" si="22"/>
        <v>Above Average</v>
      </c>
    </row>
    <row r="230" spans="1:16" x14ac:dyDescent="0.25">
      <c r="A230" s="1" t="s">
        <v>50</v>
      </c>
      <c r="B230" s="29" t="s">
        <v>51</v>
      </c>
      <c r="C230" s="28">
        <v>2.6666666666666665</v>
      </c>
      <c r="D230" s="28">
        <v>2.3333333333333335</v>
      </c>
      <c r="E230" s="28">
        <v>10</v>
      </c>
      <c r="F230" s="28">
        <f>(((SUM(First_Semester_Information_Systems_Engineering[[#This Row],[Quiz 1]:[Quiz 3]]))/SUM($C$63:$E$63))*$F$63)</f>
        <v>5</v>
      </c>
      <c r="G230" s="27">
        <f>ROUND(First_Semester_Information_Systems_Engineering[[#This Row],[Quiz Average]],0)</f>
        <v>5</v>
      </c>
      <c r="H230" s="31">
        <v>4</v>
      </c>
      <c r="I230" s="28">
        <v>30</v>
      </c>
      <c r="J230" s="28">
        <v>23</v>
      </c>
      <c r="K230" s="28">
        <f>SUM(First_Semester_Information_Systems_Engineering[[#This Row],[Assignment]:[Final]])</f>
        <v>53</v>
      </c>
      <c r="L230" s="42">
        <f>ROUND(First_Semester_Information_Systems_Engineering[[#This Row],[Ass &amp; Final]],0)</f>
        <v>53</v>
      </c>
      <c r="M230" s="42">
        <f>SUM(G230,H230,L230)</f>
        <v>62</v>
      </c>
      <c r="N230" s="46" t="str">
        <f t="shared" si="20"/>
        <v>B</v>
      </c>
      <c r="O230" s="44" t="str">
        <f t="shared" si="21"/>
        <v>3.00</v>
      </c>
      <c r="P230" s="34" t="str">
        <f t="shared" si="22"/>
        <v>Satisfactory</v>
      </c>
    </row>
    <row r="231" spans="1:16" x14ac:dyDescent="0.25">
      <c r="A231" s="1" t="s">
        <v>53</v>
      </c>
      <c r="B231" s="29" t="s">
        <v>54</v>
      </c>
      <c r="C231" s="28">
        <v>8.3333333333333339</v>
      </c>
      <c r="D231" s="28">
        <v>3.3333333333333335</v>
      </c>
      <c r="E231" s="28">
        <v>9.6666666666666661</v>
      </c>
      <c r="F231" s="28">
        <f>(((SUM(First_Semester_Information_Systems_Engineering[[#This Row],[Quiz 1]:[Quiz 3]]))/SUM($C$63:$E$63))*$F$63)</f>
        <v>7.1111111111111125</v>
      </c>
      <c r="G231" s="27">
        <f>ROUND(First_Semester_Information_Systems_Engineering[[#This Row],[Quiz Average]],0)</f>
        <v>7</v>
      </c>
      <c r="H231" s="31">
        <v>8</v>
      </c>
      <c r="I231" s="28">
        <v>16.5</v>
      </c>
      <c r="J231" s="28">
        <v>17</v>
      </c>
      <c r="K231" s="28">
        <f>SUM(First_Semester_Information_Systems_Engineering[[#This Row],[Assignment]:[Final]])</f>
        <v>33.5</v>
      </c>
      <c r="L231" s="42">
        <f>ROUND(First_Semester_Information_Systems_Engineering[[#This Row],[Ass &amp; Final]],0)</f>
        <v>34</v>
      </c>
      <c r="M231" s="42">
        <f t="shared" si="19"/>
        <v>49</v>
      </c>
      <c r="N231" s="46" t="str">
        <f t="shared" si="20"/>
        <v>C</v>
      </c>
      <c r="O231" s="44" t="str">
        <f t="shared" si="21"/>
        <v>2.25</v>
      </c>
      <c r="P231" s="34" t="str">
        <f t="shared" si="22"/>
        <v>Bellow Average</v>
      </c>
    </row>
    <row r="232" spans="1:16" ht="15.75" thickBot="1" x14ac:dyDescent="0.3">
      <c r="A232" s="35" t="s">
        <v>60</v>
      </c>
      <c r="B232" s="36" t="s">
        <v>61</v>
      </c>
      <c r="C232" s="37">
        <v>10</v>
      </c>
      <c r="D232" s="37">
        <v>6.666666666666667</v>
      </c>
      <c r="E232" s="37">
        <v>13</v>
      </c>
      <c r="F232" s="37">
        <f>(((SUM(First_Semester_Information_Systems_Engineering[[#This Row],[Quiz 1]:[Quiz 3]]))/SUM($C$63:$E$63))*$F$63)</f>
        <v>9.8888888888888893</v>
      </c>
      <c r="G232" s="38">
        <f>ROUND(First_Semester_Information_Systems_Engineering[[#This Row],[Quiz Average]],0)</f>
        <v>10</v>
      </c>
      <c r="H232" s="39">
        <v>3</v>
      </c>
      <c r="I232" s="37">
        <v>6</v>
      </c>
      <c r="J232" s="37">
        <v>36</v>
      </c>
      <c r="K232" s="37">
        <f>SUM(First_Semester_Information_Systems_Engineering[[#This Row],[Assignment]:[Final]])</f>
        <v>42</v>
      </c>
      <c r="L232" s="43">
        <f>ROUND(First_Semester_Information_Systems_Engineering[[#This Row],[Ass &amp; Final]],0)</f>
        <v>42</v>
      </c>
      <c r="M232" s="76">
        <f t="shared" si="19"/>
        <v>55</v>
      </c>
      <c r="N232" s="47" t="str">
        <f t="shared" si="20"/>
        <v>B-</v>
      </c>
      <c r="O232" s="45" t="str">
        <f t="shared" si="21"/>
        <v>2.75</v>
      </c>
      <c r="P232" s="41" t="str">
        <f t="shared" si="22"/>
        <v>Above Average</v>
      </c>
    </row>
    <row r="239" spans="1:16" x14ac:dyDescent="0.25">
      <c r="L239" s="9"/>
    </row>
    <row r="241" spans="12:12" x14ac:dyDescent="0.25">
      <c r="L241" s="9"/>
    </row>
  </sheetData>
  <mergeCells count="13">
    <mergeCell ref="A13:Q15"/>
    <mergeCell ref="A107:B107"/>
    <mergeCell ref="F107:L108"/>
    <mergeCell ref="A108:B108"/>
    <mergeCell ref="A61:B61"/>
    <mergeCell ref="A60:B60"/>
    <mergeCell ref="F60:L61"/>
    <mergeCell ref="A154:B154"/>
    <mergeCell ref="F154:L155"/>
    <mergeCell ref="A155:B155"/>
    <mergeCell ref="A201:B201"/>
    <mergeCell ref="F201:L202"/>
    <mergeCell ref="A202:B202"/>
  </mergeCells>
  <pageMargins left="0.7" right="0.7" top="0.75" bottom="0.75" header="0.3" footer="0.3"/>
  <pageSetup orientation="portrait" horizontalDpi="300" verticalDpi="0" r:id="rId1"/>
  <ignoredErrors>
    <ignoredError sqref="C63:E63 M63:N63 H63:J63 C204:E204 J204 H204:I204 C110:E110 M110:N110 H110:J110 C157:E157 H157:J157 M157:N157 C64:E69 H64:J69 M64:N69 C111:E116 H111:J116 M111:N116 C158 C159:E163 D158:E158 H158:J163 M158:N163 C205:E210 H205:J210 C71:E75 H71:J75 M71:N75 C77:E80 H77:J80 M77:N80 C82:E91 H82:J91 M82:N91 C124:E127 H124:J127 M124:N127 C118:E122 H118:J122 M118:N122 C129:E138 H129:J138 M129:N138 C165:E169 H165:J169 M165:N169 C171:E174 H171:J174 M171:N174 C176:E185 H176:J185 M176:N185 C212:E216 H212:J216 C218:E221 H218:J221 C223:E232 H223:J232 Q17:Q22 Q24:Q28 Q30:Q33 Q35:Q44" calculatedColumn="1"/>
  </ignoredErrors>
  <drawing r:id="rId2"/>
  <tableParts count="5">
    <tablePart r:id="rId3"/>
    <tablePart r:id="rId4"/>
    <tablePart r:id="rId5"/>
    <tablePart r:id="rId6"/>
    <tablePart r:id="rId7"/>
  </tableParts>
  <extLst>
    <ext xmlns:x15="http://schemas.microsoft.com/office/spreadsheetml/2010/11/main" uri="{3A4CF648-6AED-40f4-86FF-DC5316D8AED3}">
      <x14:slicerList xmlns:x14="http://schemas.microsoft.com/office/spreadsheetml/2009/9/main">
        <x14:slicer r:id="rId8"/>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0ACC3C-C552-4B97-906B-4A2FA39F1910}">
  <dimension ref="A5:V286"/>
  <sheetViews>
    <sheetView zoomScale="85" zoomScaleNormal="85" workbookViewId="0"/>
  </sheetViews>
  <sheetFormatPr defaultRowHeight="15" x14ac:dyDescent="0.25"/>
  <cols>
    <col min="1" max="1" width="10.5703125" bestFit="1" customWidth="1"/>
    <col min="2" max="2" width="27.5703125" bestFit="1" customWidth="1"/>
    <col min="3" max="3" width="21.28515625" bestFit="1" customWidth="1"/>
    <col min="4" max="4" width="27.5703125" bestFit="1" customWidth="1"/>
    <col min="5" max="5" width="41.42578125" bestFit="1" customWidth="1"/>
    <col min="6" max="6" width="25.28515625" customWidth="1"/>
    <col min="7" max="7" width="31.28515625" bestFit="1" customWidth="1"/>
    <col min="8" max="8" width="44.140625" bestFit="1" customWidth="1"/>
    <col min="9" max="9" width="36.42578125" bestFit="1" customWidth="1"/>
    <col min="10" max="10" width="42.42578125" bestFit="1" customWidth="1"/>
    <col min="11" max="11" width="56.42578125" bestFit="1" customWidth="1"/>
    <col min="12" max="12" width="28.85546875" bestFit="1" customWidth="1"/>
    <col min="13" max="13" width="34.85546875" bestFit="1" customWidth="1"/>
    <col min="14" max="14" width="49" bestFit="1" customWidth="1"/>
    <col min="15" max="16" width="46" bestFit="1" customWidth="1"/>
    <col min="17" max="17" width="60.7109375" bestFit="1" customWidth="1"/>
    <col min="18" max="18" width="34.85546875" bestFit="1" customWidth="1"/>
    <col min="19" max="20" width="22.42578125" bestFit="1" customWidth="1"/>
  </cols>
  <sheetData>
    <row r="5" spans="1:20" x14ac:dyDescent="0.25">
      <c r="M5" s="110"/>
      <c r="N5" s="110"/>
      <c r="O5" s="110"/>
      <c r="P5" s="110"/>
      <c r="Q5" s="110"/>
      <c r="R5" s="110"/>
    </row>
    <row r="6" spans="1:20" x14ac:dyDescent="0.25">
      <c r="L6" s="9"/>
      <c r="M6" s="110"/>
      <c r="N6" s="110"/>
      <c r="O6" s="110"/>
      <c r="P6" s="110"/>
      <c r="Q6" s="110"/>
      <c r="R6" s="110"/>
    </row>
    <row r="7" spans="1:20" x14ac:dyDescent="0.25">
      <c r="L7" s="9"/>
      <c r="M7" s="110"/>
      <c r="N7" s="110"/>
      <c r="O7" s="110"/>
      <c r="P7" s="110"/>
      <c r="Q7" s="110"/>
      <c r="R7" s="110"/>
    </row>
    <row r="8" spans="1:20" x14ac:dyDescent="0.25">
      <c r="L8" s="9"/>
      <c r="M8" s="110"/>
      <c r="N8" s="110"/>
      <c r="O8" s="110"/>
      <c r="P8" s="110"/>
      <c r="Q8" s="110"/>
      <c r="R8" s="110"/>
    </row>
    <row r="9" spans="1:20" x14ac:dyDescent="0.25">
      <c r="L9" s="119"/>
      <c r="M9" s="119"/>
      <c r="N9" s="119"/>
      <c r="O9" s="120"/>
      <c r="P9" s="121"/>
      <c r="Q9" s="110"/>
      <c r="R9" s="110"/>
    </row>
    <row r="10" spans="1:20" x14ac:dyDescent="0.25">
      <c r="L10" s="9"/>
      <c r="M10" s="110"/>
      <c r="N10" s="110"/>
      <c r="O10" s="110"/>
      <c r="P10" s="110"/>
      <c r="Q10" s="110"/>
      <c r="R10" s="110"/>
    </row>
    <row r="13" spans="1:20" ht="15" customHeight="1" x14ac:dyDescent="0.25">
      <c r="A13" s="297" t="s">
        <v>386</v>
      </c>
      <c r="B13" s="297"/>
      <c r="C13" s="297"/>
      <c r="D13" s="297"/>
      <c r="E13" s="297"/>
      <c r="F13" s="297"/>
      <c r="G13" s="297"/>
      <c r="H13" s="297"/>
      <c r="I13" s="297"/>
      <c r="J13" s="297"/>
      <c r="K13" s="297"/>
      <c r="L13" s="297"/>
      <c r="M13" s="297"/>
      <c r="N13" s="297"/>
      <c r="O13" s="297"/>
      <c r="P13" s="297"/>
      <c r="Q13" s="297"/>
      <c r="R13" s="297"/>
      <c r="S13" s="297"/>
      <c r="T13" s="297"/>
    </row>
    <row r="14" spans="1:20" ht="15" customHeight="1" x14ac:dyDescent="0.25">
      <c r="A14" s="297"/>
      <c r="B14" s="297"/>
      <c r="C14" s="297"/>
      <c r="D14" s="297"/>
      <c r="E14" s="297"/>
      <c r="F14" s="297"/>
      <c r="G14" s="297"/>
      <c r="H14" s="297"/>
      <c r="I14" s="297"/>
      <c r="J14" s="297"/>
      <c r="K14" s="297"/>
      <c r="L14" s="297"/>
      <c r="M14" s="297"/>
      <c r="N14" s="297"/>
      <c r="O14" s="297"/>
      <c r="P14" s="297"/>
      <c r="Q14" s="297"/>
      <c r="R14" s="297"/>
      <c r="S14" s="297"/>
      <c r="T14" s="297"/>
    </row>
    <row r="15" spans="1:20" ht="15" customHeight="1" x14ac:dyDescent="0.25">
      <c r="A15" s="297"/>
      <c r="B15" s="297"/>
      <c r="C15" s="297"/>
      <c r="D15" s="297"/>
      <c r="E15" s="297"/>
      <c r="F15" s="297"/>
      <c r="G15" s="297"/>
      <c r="H15" s="297"/>
      <c r="I15" s="297"/>
      <c r="J15" s="297"/>
      <c r="K15" s="297"/>
      <c r="L15" s="297"/>
      <c r="M15" s="297"/>
      <c r="N15" s="297"/>
      <c r="O15" s="297"/>
      <c r="P15" s="297"/>
      <c r="Q15" s="297"/>
      <c r="R15" s="297"/>
      <c r="S15" s="297"/>
      <c r="T15" s="297"/>
    </row>
    <row r="16" spans="1:20" x14ac:dyDescent="0.25">
      <c r="A16" s="1" t="s">
        <v>0</v>
      </c>
      <c r="B16" s="1" t="s">
        <v>20</v>
      </c>
      <c r="C16" s="1" t="s">
        <v>341</v>
      </c>
      <c r="D16" s="1" t="s">
        <v>380</v>
      </c>
      <c r="E16" s="1" t="s">
        <v>377</v>
      </c>
      <c r="F16" s="1" t="s">
        <v>334</v>
      </c>
      <c r="G16" s="1" t="s">
        <v>342</v>
      </c>
      <c r="H16" s="1" t="s">
        <v>378</v>
      </c>
      <c r="I16" s="1" t="s">
        <v>337</v>
      </c>
      <c r="J16" s="1" t="s">
        <v>343</v>
      </c>
      <c r="K16" s="98" t="s">
        <v>381</v>
      </c>
      <c r="L16" s="1" t="s">
        <v>339</v>
      </c>
      <c r="M16" s="1" t="s">
        <v>344</v>
      </c>
      <c r="N16" s="1" t="s">
        <v>382</v>
      </c>
      <c r="O16" s="1" t="s">
        <v>338</v>
      </c>
      <c r="P16" s="1" t="s">
        <v>345</v>
      </c>
      <c r="Q16" s="1" t="s">
        <v>384</v>
      </c>
      <c r="R16" s="1" t="s">
        <v>429</v>
      </c>
      <c r="S16" s="1" t="s">
        <v>162</v>
      </c>
      <c r="T16" s="1" t="s">
        <v>385</v>
      </c>
    </row>
    <row r="17" spans="1:20" x14ac:dyDescent="0.25">
      <c r="A17" s="20" t="s">
        <v>57</v>
      </c>
      <c r="B17" s="7" t="s">
        <v>58</v>
      </c>
      <c r="C17" s="28" t="str">
        <f t="shared" ref="C17:C44" si="0">S64</f>
        <v>2.50</v>
      </c>
      <c r="D17" s="20">
        <v>3</v>
      </c>
      <c r="E17" s="103">
        <f>Second_Semester_SGPA[[#This Row],[English Language - II]]*Second_Semester_SGPA[[#This Row],[English Language - II Credit]]</f>
        <v>7.5</v>
      </c>
      <c r="F17" s="28" t="str">
        <f>O111</f>
        <v>0.00</v>
      </c>
      <c r="G17" s="20">
        <v>3</v>
      </c>
      <c r="H17" s="103">
        <f>Second_Semester_SGPA[[#This Row],[Structured Programming]]*Second_Semester_SGPA[[#This Row],[Structured Programming Credit]]</f>
        <v>0</v>
      </c>
      <c r="I17" s="28" t="str">
        <f>O158</f>
        <v>2.50</v>
      </c>
      <c r="J17" s="20">
        <v>3</v>
      </c>
      <c r="K17" s="103">
        <f>Second_Semester_SGPA[[#This Row],[Fundamental Website Development]]*Second_Semester_SGPA[[#This Row],[Fundamental Website Development Credit]]</f>
        <v>7.5</v>
      </c>
      <c r="L17" s="28" t="str">
        <f t="shared" ref="L17:L44" si="1">K205</f>
        <v>0.00</v>
      </c>
      <c r="M17" s="20">
        <v>1</v>
      </c>
      <c r="N17" s="103">
        <f>Second_Semester_SGPA[[#This Row],[Structured Programming Lab]]*Second_Semester_SGPA[[#This Row],[Structured Programming Lab Credit]]</f>
        <v>0</v>
      </c>
      <c r="O17" s="28" t="str">
        <f t="shared" ref="O17:O44" si="2">K252</f>
        <v>2.00</v>
      </c>
      <c r="P17" s="93">
        <v>1</v>
      </c>
      <c r="Q17" s="103">
        <f>Second_Semester_SGPA[[#This Row],[Fundamental Website Development Lab]]*Second_Semester_SGPA[[#This Row],[Fundamental Website Development Lab Credit]]</f>
        <v>2</v>
      </c>
      <c r="R17" s="103">
        <f t="shared" ref="R17:R44" si="3">SUM(E17,H17,K17,N17,Q17)</f>
        <v>17</v>
      </c>
      <c r="S17" s="93">
        <f t="shared" ref="S17:S22" si="4">SUM(D17,G17,J17,M17,P17)</f>
        <v>11</v>
      </c>
      <c r="T17" s="28">
        <f>Second_Semester_SGPA[[#This Row],[Total Subject (Total Grade + Credit)]]/Second_Semester_SGPA[[#This Row],[Total Subject Credit]]</f>
        <v>1.5454545454545454</v>
      </c>
    </row>
    <row r="18" spans="1:20" x14ac:dyDescent="0.25">
      <c r="A18" s="20" t="s">
        <v>56</v>
      </c>
      <c r="B18" s="7" t="s">
        <v>59</v>
      </c>
      <c r="C18" s="28" t="str">
        <f t="shared" si="0"/>
        <v>2.00</v>
      </c>
      <c r="D18" s="20">
        <v>3</v>
      </c>
      <c r="E18" s="103">
        <f>Second_Semester_SGPA[[#This Row],[English Language - II]]*Second_Semester_SGPA[[#This Row],[English Language - II Credit]]</f>
        <v>6</v>
      </c>
      <c r="F18" s="28" t="str">
        <f t="shared" ref="F18:F44" si="5">O112</f>
        <v>2.00</v>
      </c>
      <c r="G18" s="20">
        <v>3</v>
      </c>
      <c r="H18" s="103">
        <f>Second_Semester_SGPA[[#This Row],[Structured Programming]]*Second_Semester_SGPA[[#This Row],[Structured Programming Credit]]</f>
        <v>6</v>
      </c>
      <c r="I18" s="28" t="str">
        <f t="shared" ref="I18:I44" si="6">O159</f>
        <v>3.00</v>
      </c>
      <c r="J18" s="20">
        <v>3</v>
      </c>
      <c r="K18" s="103">
        <f>Second_Semester_SGPA[[#This Row],[Fundamental Website Development]]*Second_Semester_SGPA[[#This Row],[Fundamental Website Development Credit]]</f>
        <v>9</v>
      </c>
      <c r="L18" s="28" t="str">
        <f t="shared" si="1"/>
        <v>2.00</v>
      </c>
      <c r="M18" s="93">
        <v>1</v>
      </c>
      <c r="N18" s="103">
        <f>Second_Semester_SGPA[[#This Row],[Structured Programming Lab]]*Second_Semester_SGPA[[#This Row],[Structured Programming Lab Credit]]</f>
        <v>2</v>
      </c>
      <c r="O18" s="28" t="str">
        <f t="shared" si="2"/>
        <v>4.00</v>
      </c>
      <c r="P18" s="93">
        <v>1</v>
      </c>
      <c r="Q18" s="103">
        <f>Second_Semester_SGPA[[#This Row],[Fundamental Website Development Lab]]*Second_Semester_SGPA[[#This Row],[Fundamental Website Development Lab Credit]]</f>
        <v>4</v>
      </c>
      <c r="R18" s="103">
        <f t="shared" si="3"/>
        <v>27</v>
      </c>
      <c r="S18" s="93">
        <f t="shared" si="4"/>
        <v>11</v>
      </c>
      <c r="T18" s="28">
        <f>Second_Semester_SGPA[[#This Row],[Total Subject (Total Grade + Credit)]]/Second_Semester_SGPA[[#This Row],[Total Subject Credit]]</f>
        <v>2.4545454545454546</v>
      </c>
    </row>
    <row r="19" spans="1:20" x14ac:dyDescent="0.25">
      <c r="A19" s="20" t="s">
        <v>1</v>
      </c>
      <c r="B19" s="7" t="s">
        <v>27</v>
      </c>
      <c r="C19" s="28" t="str">
        <f t="shared" si="0"/>
        <v>2.00</v>
      </c>
      <c r="D19" s="20">
        <v>3</v>
      </c>
      <c r="E19" s="103">
        <f>Second_Semester_SGPA[[#This Row],[English Language - II]]*Second_Semester_SGPA[[#This Row],[English Language - II Credit]]</f>
        <v>6</v>
      </c>
      <c r="F19" s="28" t="str">
        <f t="shared" si="5"/>
        <v>3.25</v>
      </c>
      <c r="G19" s="20">
        <v>3</v>
      </c>
      <c r="H19" s="103">
        <f>Second_Semester_SGPA[[#This Row],[Structured Programming]]*Second_Semester_SGPA[[#This Row],[Structured Programming Credit]]</f>
        <v>9.75</v>
      </c>
      <c r="I19" s="28" t="str">
        <f t="shared" si="6"/>
        <v>2.75</v>
      </c>
      <c r="J19" s="20">
        <v>3</v>
      </c>
      <c r="K19" s="103">
        <f>Second_Semester_SGPA[[#This Row],[Fundamental Website Development]]*Second_Semester_SGPA[[#This Row],[Fundamental Website Development Credit]]</f>
        <v>8.25</v>
      </c>
      <c r="L19" s="28" t="str">
        <f t="shared" si="1"/>
        <v>2.00</v>
      </c>
      <c r="M19" s="93">
        <v>1</v>
      </c>
      <c r="N19" s="103">
        <f>Second_Semester_SGPA[[#This Row],[Structured Programming Lab]]*Second_Semester_SGPA[[#This Row],[Structured Programming Lab Credit]]</f>
        <v>2</v>
      </c>
      <c r="O19" s="28" t="str">
        <f t="shared" si="2"/>
        <v>2.00</v>
      </c>
      <c r="P19" s="93">
        <v>1</v>
      </c>
      <c r="Q19" s="103">
        <f>Second_Semester_SGPA[[#This Row],[Fundamental Website Development Lab]]*Second_Semester_SGPA[[#This Row],[Fundamental Website Development Lab Credit]]</f>
        <v>2</v>
      </c>
      <c r="R19" s="103">
        <f t="shared" si="3"/>
        <v>28</v>
      </c>
      <c r="S19" s="93">
        <f t="shared" si="4"/>
        <v>11</v>
      </c>
      <c r="T19" s="28">
        <f>Second_Semester_SGPA[[#This Row],[Total Subject (Total Grade + Credit)]]/Second_Semester_SGPA[[#This Row],[Total Subject Credit]]</f>
        <v>2.5454545454545454</v>
      </c>
    </row>
    <row r="20" spans="1:20" x14ac:dyDescent="0.25">
      <c r="A20" s="20" t="s">
        <v>2</v>
      </c>
      <c r="B20" s="7" t="s">
        <v>28</v>
      </c>
      <c r="C20" s="28" t="str">
        <f t="shared" si="0"/>
        <v>0.00</v>
      </c>
      <c r="D20" s="20">
        <v>3</v>
      </c>
      <c r="E20" s="103">
        <f>Second_Semester_SGPA[[#This Row],[English Language - II]]*Second_Semester_SGPA[[#This Row],[English Language - II Credit]]</f>
        <v>0</v>
      </c>
      <c r="F20" s="28" t="str">
        <f t="shared" si="5"/>
        <v>2.00</v>
      </c>
      <c r="G20" s="20">
        <v>3</v>
      </c>
      <c r="H20" s="103">
        <f>Second_Semester_SGPA[[#This Row],[Structured Programming]]*Second_Semester_SGPA[[#This Row],[Structured Programming Credit]]</f>
        <v>6</v>
      </c>
      <c r="I20" s="28" t="str">
        <f t="shared" si="6"/>
        <v>2.50</v>
      </c>
      <c r="J20" s="20">
        <v>3</v>
      </c>
      <c r="K20" s="103">
        <f>Second_Semester_SGPA[[#This Row],[Fundamental Website Development]]*Second_Semester_SGPA[[#This Row],[Fundamental Website Development Credit]]</f>
        <v>7.5</v>
      </c>
      <c r="L20" s="28" t="str">
        <f t="shared" si="1"/>
        <v>2.75</v>
      </c>
      <c r="M20" s="93">
        <v>1</v>
      </c>
      <c r="N20" s="103">
        <f>Second_Semester_SGPA[[#This Row],[Structured Programming Lab]]*Second_Semester_SGPA[[#This Row],[Structured Programming Lab Credit]]</f>
        <v>2.75</v>
      </c>
      <c r="O20" s="28" t="str">
        <f t="shared" si="2"/>
        <v>2.50</v>
      </c>
      <c r="P20" s="93">
        <v>1</v>
      </c>
      <c r="Q20" s="103">
        <f>Second_Semester_SGPA[[#This Row],[Fundamental Website Development Lab]]*Second_Semester_SGPA[[#This Row],[Fundamental Website Development Lab Credit]]</f>
        <v>2.5</v>
      </c>
      <c r="R20" s="103">
        <f t="shared" si="3"/>
        <v>18.75</v>
      </c>
      <c r="S20" s="93">
        <f t="shared" si="4"/>
        <v>11</v>
      </c>
      <c r="T20" s="28">
        <f>Second_Semester_SGPA[[#This Row],[Total Subject (Total Grade + Credit)]]/Second_Semester_SGPA[[#This Row],[Total Subject Credit]]</f>
        <v>1.7045454545454546</v>
      </c>
    </row>
    <row r="21" spans="1:20" x14ac:dyDescent="0.25">
      <c r="A21" s="20" t="s">
        <v>3</v>
      </c>
      <c r="B21" s="7" t="s">
        <v>29</v>
      </c>
      <c r="C21" s="28" t="str">
        <f t="shared" si="0"/>
        <v>0.00</v>
      </c>
      <c r="D21" s="20">
        <v>3</v>
      </c>
      <c r="E21" s="103">
        <f>Second_Semester_SGPA[[#This Row],[English Language - II]]*Second_Semester_SGPA[[#This Row],[English Language - II Credit]]</f>
        <v>0</v>
      </c>
      <c r="F21" s="28" t="str">
        <f t="shared" si="5"/>
        <v>2.50</v>
      </c>
      <c r="G21" s="20">
        <v>3</v>
      </c>
      <c r="H21" s="103">
        <f>Second_Semester_SGPA[[#This Row],[Structured Programming]]*Second_Semester_SGPA[[#This Row],[Structured Programming Credit]]</f>
        <v>7.5</v>
      </c>
      <c r="I21" s="28" t="str">
        <f t="shared" si="6"/>
        <v>3.50</v>
      </c>
      <c r="J21" s="20">
        <v>3</v>
      </c>
      <c r="K21" s="103">
        <f>Second_Semester_SGPA[[#This Row],[Fundamental Website Development]]*Second_Semester_SGPA[[#This Row],[Fundamental Website Development Credit]]</f>
        <v>10.5</v>
      </c>
      <c r="L21" s="28" t="str">
        <f t="shared" si="1"/>
        <v>2.75</v>
      </c>
      <c r="M21" s="93">
        <v>1</v>
      </c>
      <c r="N21" s="103">
        <f>Second_Semester_SGPA[[#This Row],[Structured Programming Lab]]*Second_Semester_SGPA[[#This Row],[Structured Programming Lab Credit]]</f>
        <v>2.75</v>
      </c>
      <c r="O21" s="28" t="str">
        <f t="shared" si="2"/>
        <v>2.25</v>
      </c>
      <c r="P21" s="93">
        <v>1</v>
      </c>
      <c r="Q21" s="103">
        <f>Second_Semester_SGPA[[#This Row],[Fundamental Website Development Lab]]*Second_Semester_SGPA[[#This Row],[Fundamental Website Development Lab Credit]]</f>
        <v>2.25</v>
      </c>
      <c r="R21" s="103">
        <f t="shared" si="3"/>
        <v>23</v>
      </c>
      <c r="S21" s="93">
        <f t="shared" si="4"/>
        <v>11</v>
      </c>
      <c r="T21" s="28">
        <f>Second_Semester_SGPA[[#This Row],[Total Subject (Total Grade + Credit)]]/Second_Semester_SGPA[[#This Row],[Total Subject Credit]]</f>
        <v>2.0909090909090908</v>
      </c>
    </row>
    <row r="22" spans="1:20" x14ac:dyDescent="0.25">
      <c r="A22" s="20" t="s">
        <v>4</v>
      </c>
      <c r="B22" s="7" t="s">
        <v>30</v>
      </c>
      <c r="C22" s="28" t="str">
        <f t="shared" si="0"/>
        <v>2.25</v>
      </c>
      <c r="D22" s="20">
        <v>3</v>
      </c>
      <c r="E22" s="103">
        <f>Second_Semester_SGPA[[#This Row],[English Language - II]]*Second_Semester_SGPA[[#This Row],[English Language - II Credit]]</f>
        <v>6.75</v>
      </c>
      <c r="F22" s="28" t="str">
        <f t="shared" si="5"/>
        <v>2.00</v>
      </c>
      <c r="G22" s="20">
        <v>3</v>
      </c>
      <c r="H22" s="103">
        <f>Second_Semester_SGPA[[#This Row],[Structured Programming]]*Second_Semester_SGPA[[#This Row],[Structured Programming Credit]]</f>
        <v>6</v>
      </c>
      <c r="I22" s="28" t="str">
        <f t="shared" si="6"/>
        <v>2.25</v>
      </c>
      <c r="J22" s="20">
        <v>3</v>
      </c>
      <c r="K22" s="103">
        <f>Second_Semester_SGPA[[#This Row],[Fundamental Website Development]]*Second_Semester_SGPA[[#This Row],[Fundamental Website Development Credit]]</f>
        <v>6.75</v>
      </c>
      <c r="L22" s="28" t="str">
        <f t="shared" si="1"/>
        <v>3.50</v>
      </c>
      <c r="M22" s="93">
        <v>1</v>
      </c>
      <c r="N22" s="103">
        <f>Second_Semester_SGPA[[#This Row],[Structured Programming Lab]]*Second_Semester_SGPA[[#This Row],[Structured Programming Lab Credit]]</f>
        <v>3.5</v>
      </c>
      <c r="O22" s="28" t="str">
        <f t="shared" si="2"/>
        <v>2.50</v>
      </c>
      <c r="P22" s="93">
        <v>1</v>
      </c>
      <c r="Q22" s="103">
        <f>Second_Semester_SGPA[[#This Row],[Fundamental Website Development Lab]]*Second_Semester_SGPA[[#This Row],[Fundamental Website Development Lab Credit]]</f>
        <v>2.5</v>
      </c>
      <c r="R22" s="103">
        <f t="shared" si="3"/>
        <v>25.5</v>
      </c>
      <c r="S22" s="93">
        <f t="shared" si="4"/>
        <v>11</v>
      </c>
      <c r="T22" s="28">
        <f>Second_Semester_SGPA[[#This Row],[Total Subject (Total Grade + Credit)]]/Second_Semester_SGPA[[#This Row],[Total Subject Credit]]</f>
        <v>2.3181818181818183</v>
      </c>
    </row>
    <row r="23" spans="1:20" s="21" customFormat="1" x14ac:dyDescent="0.25">
      <c r="A23" s="208" t="s">
        <v>5</v>
      </c>
      <c r="B23" s="207" t="s">
        <v>31</v>
      </c>
      <c r="C23" s="209"/>
      <c r="D23" s="208"/>
      <c r="E23" s="208"/>
      <c r="F23" s="209"/>
      <c r="G23" s="208"/>
      <c r="H23" s="208"/>
      <c r="I23" s="209"/>
      <c r="J23" s="208"/>
      <c r="K23" s="208"/>
      <c r="L23" s="209"/>
      <c r="M23" s="208"/>
      <c r="N23" s="208"/>
      <c r="O23" s="209"/>
      <c r="P23" s="208"/>
      <c r="Q23" s="208"/>
      <c r="R23" s="208"/>
      <c r="S23" s="208"/>
      <c r="T23" s="209"/>
    </row>
    <row r="24" spans="1:20" s="21" customFormat="1" x14ac:dyDescent="0.25">
      <c r="A24" s="20" t="s">
        <v>6</v>
      </c>
      <c r="B24" s="7" t="s">
        <v>32</v>
      </c>
      <c r="C24" s="28" t="str">
        <f t="shared" si="0"/>
        <v>0.00</v>
      </c>
      <c r="D24" s="20">
        <v>3</v>
      </c>
      <c r="E24" s="103">
        <f>Second_Semester_SGPA[[#This Row],[English Language - II]]*Second_Semester_SGPA[[#This Row],[English Language - II Credit]]</f>
        <v>0</v>
      </c>
      <c r="F24" s="28" t="str">
        <f t="shared" si="5"/>
        <v>3.25</v>
      </c>
      <c r="G24" s="20">
        <v>3</v>
      </c>
      <c r="H24" s="103">
        <f>Second_Semester_SGPA[[#This Row],[Structured Programming]]*Second_Semester_SGPA[[#This Row],[Structured Programming Credit]]</f>
        <v>9.75</v>
      </c>
      <c r="I24" s="28" t="str">
        <f t="shared" si="6"/>
        <v>0.00</v>
      </c>
      <c r="J24" s="20">
        <v>3</v>
      </c>
      <c r="K24" s="103">
        <f>Second_Semester_SGPA[[#This Row],[Fundamental Website Development]]*Second_Semester_SGPA[[#This Row],[Fundamental Website Development Credit]]</f>
        <v>0</v>
      </c>
      <c r="L24" s="28" t="str">
        <f t="shared" si="1"/>
        <v>2.25</v>
      </c>
      <c r="M24" s="93">
        <v>1</v>
      </c>
      <c r="N24" s="103">
        <f>Second_Semester_SGPA[[#This Row],[Structured Programming Lab]]*Second_Semester_SGPA[[#This Row],[Structured Programming Lab Credit]]</f>
        <v>2.25</v>
      </c>
      <c r="O24" s="28" t="str">
        <f t="shared" si="2"/>
        <v>0.00</v>
      </c>
      <c r="P24" s="93">
        <v>1</v>
      </c>
      <c r="Q24" s="103">
        <f>Second_Semester_SGPA[[#This Row],[Fundamental Website Development Lab]]*Second_Semester_SGPA[[#This Row],[Fundamental Website Development Lab Credit]]</f>
        <v>0</v>
      </c>
      <c r="R24" s="103">
        <f t="shared" si="3"/>
        <v>12</v>
      </c>
      <c r="S24" s="93">
        <f>SUM(D24,G24,J24,M24,P24)</f>
        <v>11</v>
      </c>
      <c r="T24" s="28">
        <f>Second_Semester_SGPA[[#This Row],[Total Subject (Total Grade + Credit)]]/Second_Semester_SGPA[[#This Row],[Total Subject Credit]]</f>
        <v>1.0909090909090908</v>
      </c>
    </row>
    <row r="25" spans="1:20" s="21" customFormat="1" x14ac:dyDescent="0.25">
      <c r="A25" s="20" t="s">
        <v>7</v>
      </c>
      <c r="B25" s="7" t="s">
        <v>33</v>
      </c>
      <c r="C25" s="28" t="str">
        <f t="shared" si="0"/>
        <v>0.00</v>
      </c>
      <c r="D25" s="20">
        <v>3</v>
      </c>
      <c r="E25" s="103">
        <f>Second_Semester_SGPA[[#This Row],[English Language - II]]*Second_Semester_SGPA[[#This Row],[English Language - II Credit]]</f>
        <v>0</v>
      </c>
      <c r="F25" s="28" t="str">
        <f t="shared" si="5"/>
        <v>0.00</v>
      </c>
      <c r="G25" s="20">
        <v>3</v>
      </c>
      <c r="H25" s="103">
        <f>Second_Semester_SGPA[[#This Row],[Structured Programming]]*Second_Semester_SGPA[[#This Row],[Structured Programming Credit]]</f>
        <v>0</v>
      </c>
      <c r="I25" s="28" t="str">
        <f t="shared" si="6"/>
        <v>2.75</v>
      </c>
      <c r="J25" s="20">
        <v>3</v>
      </c>
      <c r="K25" s="103">
        <f>Second_Semester_SGPA[[#This Row],[Fundamental Website Development]]*Second_Semester_SGPA[[#This Row],[Fundamental Website Development Credit]]</f>
        <v>8.25</v>
      </c>
      <c r="L25" s="28" t="str">
        <f t="shared" si="1"/>
        <v>3.75</v>
      </c>
      <c r="M25" s="93">
        <v>1</v>
      </c>
      <c r="N25" s="103">
        <f>Second_Semester_SGPA[[#This Row],[Structured Programming Lab]]*Second_Semester_SGPA[[#This Row],[Structured Programming Lab Credit]]</f>
        <v>3.75</v>
      </c>
      <c r="O25" s="28" t="str">
        <f t="shared" si="2"/>
        <v>0.00</v>
      </c>
      <c r="P25" s="93">
        <v>1</v>
      </c>
      <c r="Q25" s="103">
        <f>Second_Semester_SGPA[[#This Row],[Fundamental Website Development Lab]]*Second_Semester_SGPA[[#This Row],[Fundamental Website Development Lab Credit]]</f>
        <v>0</v>
      </c>
      <c r="R25" s="103">
        <f t="shared" si="3"/>
        <v>12</v>
      </c>
      <c r="S25" s="93">
        <f>SUM(D25,G25,J25,M25,P25)</f>
        <v>11</v>
      </c>
      <c r="T25" s="28">
        <f>Second_Semester_SGPA[[#This Row],[Total Subject (Total Grade + Credit)]]/Second_Semester_SGPA[[#This Row],[Total Subject Credit]]</f>
        <v>1.0909090909090908</v>
      </c>
    </row>
    <row r="26" spans="1:20" s="21" customFormat="1" x14ac:dyDescent="0.25">
      <c r="A26" s="20" t="s">
        <v>8</v>
      </c>
      <c r="B26" s="7" t="s">
        <v>34</v>
      </c>
      <c r="C26" s="28" t="str">
        <f t="shared" si="0"/>
        <v>2.75</v>
      </c>
      <c r="D26" s="20">
        <v>3</v>
      </c>
      <c r="E26" s="103">
        <f>Second_Semester_SGPA[[#This Row],[English Language - II]]*Second_Semester_SGPA[[#This Row],[English Language - II Credit]]</f>
        <v>8.25</v>
      </c>
      <c r="F26" s="28" t="str">
        <f t="shared" si="5"/>
        <v>3.00</v>
      </c>
      <c r="G26" s="20">
        <v>3</v>
      </c>
      <c r="H26" s="103">
        <f>Second_Semester_SGPA[[#This Row],[Structured Programming]]*Second_Semester_SGPA[[#This Row],[Structured Programming Credit]]</f>
        <v>9</v>
      </c>
      <c r="I26" s="28" t="str">
        <f t="shared" si="6"/>
        <v>3.00</v>
      </c>
      <c r="J26" s="20">
        <v>3</v>
      </c>
      <c r="K26" s="103">
        <f>Second_Semester_SGPA[[#This Row],[Fundamental Website Development]]*Second_Semester_SGPA[[#This Row],[Fundamental Website Development Credit]]</f>
        <v>9</v>
      </c>
      <c r="L26" s="28" t="str">
        <f t="shared" si="1"/>
        <v>3.25</v>
      </c>
      <c r="M26" s="93">
        <v>1</v>
      </c>
      <c r="N26" s="103">
        <f>Second_Semester_SGPA[[#This Row],[Structured Programming Lab]]*Second_Semester_SGPA[[#This Row],[Structured Programming Lab Credit]]</f>
        <v>3.25</v>
      </c>
      <c r="O26" s="28" t="str">
        <f t="shared" si="2"/>
        <v>2.50</v>
      </c>
      <c r="P26" s="93">
        <v>1</v>
      </c>
      <c r="Q26" s="103">
        <f>Second_Semester_SGPA[[#This Row],[Fundamental Website Development Lab]]*Second_Semester_SGPA[[#This Row],[Fundamental Website Development Lab Credit]]</f>
        <v>2.5</v>
      </c>
      <c r="R26" s="103">
        <f t="shared" si="3"/>
        <v>32</v>
      </c>
      <c r="S26" s="93">
        <f>SUM(D26,G26,J26,M26,P26)</f>
        <v>11</v>
      </c>
      <c r="T26" s="28">
        <f>Second_Semester_SGPA[[#This Row],[Total Subject (Total Grade + Credit)]]/Second_Semester_SGPA[[#This Row],[Total Subject Credit]]</f>
        <v>2.9090909090909092</v>
      </c>
    </row>
    <row r="27" spans="1:20" s="21" customFormat="1" x14ac:dyDescent="0.25">
      <c r="A27" s="20" t="s">
        <v>9</v>
      </c>
      <c r="B27" s="7" t="s">
        <v>35</v>
      </c>
      <c r="C27" s="28" t="str">
        <f t="shared" si="0"/>
        <v>2.50</v>
      </c>
      <c r="D27" s="20">
        <v>3</v>
      </c>
      <c r="E27" s="103">
        <f>Second_Semester_SGPA[[#This Row],[English Language - II]]*Second_Semester_SGPA[[#This Row],[English Language - II Credit]]</f>
        <v>7.5</v>
      </c>
      <c r="F27" s="28" t="str">
        <f t="shared" si="5"/>
        <v>0.00</v>
      </c>
      <c r="G27" s="20">
        <v>3</v>
      </c>
      <c r="H27" s="103">
        <f>Second_Semester_SGPA[[#This Row],[Structured Programming]]*Second_Semester_SGPA[[#This Row],[Structured Programming Credit]]</f>
        <v>0</v>
      </c>
      <c r="I27" s="28" t="str">
        <f t="shared" si="6"/>
        <v>0.00</v>
      </c>
      <c r="J27" s="20">
        <v>3</v>
      </c>
      <c r="K27" s="103">
        <f>Second_Semester_SGPA[[#This Row],[Fundamental Website Development]]*Second_Semester_SGPA[[#This Row],[Fundamental Website Development Credit]]</f>
        <v>0</v>
      </c>
      <c r="L27" s="28" t="str">
        <f t="shared" si="1"/>
        <v>2.00</v>
      </c>
      <c r="M27" s="93">
        <v>1</v>
      </c>
      <c r="N27" s="103">
        <f>Second_Semester_SGPA[[#This Row],[Structured Programming Lab]]*Second_Semester_SGPA[[#This Row],[Structured Programming Lab Credit]]</f>
        <v>2</v>
      </c>
      <c r="O27" s="28" t="str">
        <f t="shared" si="2"/>
        <v>2.75</v>
      </c>
      <c r="P27" s="93">
        <v>1</v>
      </c>
      <c r="Q27" s="103">
        <f>Second_Semester_SGPA[[#This Row],[Fundamental Website Development Lab]]*Second_Semester_SGPA[[#This Row],[Fundamental Website Development Lab Credit]]</f>
        <v>2.75</v>
      </c>
      <c r="R27" s="103">
        <f t="shared" si="3"/>
        <v>12.25</v>
      </c>
      <c r="S27" s="93">
        <f>SUM(D27,G27,J27,M27,P27)</f>
        <v>11</v>
      </c>
      <c r="T27" s="28">
        <f>Second_Semester_SGPA[[#This Row],[Total Subject (Total Grade + Credit)]]/Second_Semester_SGPA[[#This Row],[Total Subject Credit]]</f>
        <v>1.1136363636363635</v>
      </c>
    </row>
    <row r="28" spans="1:20" s="21" customFormat="1" x14ac:dyDescent="0.25">
      <c r="A28" s="20" t="s">
        <v>10</v>
      </c>
      <c r="B28" s="7" t="s">
        <v>36</v>
      </c>
      <c r="C28" s="28" t="str">
        <f t="shared" si="0"/>
        <v>3.50</v>
      </c>
      <c r="D28" s="20">
        <v>3</v>
      </c>
      <c r="E28" s="103">
        <f>Second_Semester_SGPA[[#This Row],[English Language - II]]*Second_Semester_SGPA[[#This Row],[English Language - II Credit]]</f>
        <v>10.5</v>
      </c>
      <c r="F28" s="28" t="str">
        <f t="shared" si="5"/>
        <v>0.00</v>
      </c>
      <c r="G28" s="20">
        <v>3</v>
      </c>
      <c r="H28" s="103">
        <f>Second_Semester_SGPA[[#This Row],[Structured Programming]]*Second_Semester_SGPA[[#This Row],[Structured Programming Credit]]</f>
        <v>0</v>
      </c>
      <c r="I28" s="28" t="str">
        <f t="shared" si="6"/>
        <v>2.75</v>
      </c>
      <c r="J28" s="20">
        <v>3</v>
      </c>
      <c r="K28" s="103">
        <f>Second_Semester_SGPA[[#This Row],[Fundamental Website Development]]*Second_Semester_SGPA[[#This Row],[Fundamental Website Development Credit]]</f>
        <v>8.25</v>
      </c>
      <c r="L28" s="28" t="str">
        <f t="shared" si="1"/>
        <v>4.00</v>
      </c>
      <c r="M28" s="93">
        <v>1</v>
      </c>
      <c r="N28" s="103">
        <f>Second_Semester_SGPA[[#This Row],[Structured Programming Lab]]*Second_Semester_SGPA[[#This Row],[Structured Programming Lab Credit]]</f>
        <v>4</v>
      </c>
      <c r="O28" s="28" t="str">
        <f t="shared" si="2"/>
        <v>2.50</v>
      </c>
      <c r="P28" s="93">
        <v>1</v>
      </c>
      <c r="Q28" s="103">
        <f>Second_Semester_SGPA[[#This Row],[Fundamental Website Development Lab]]*Second_Semester_SGPA[[#This Row],[Fundamental Website Development Lab Credit]]</f>
        <v>2.5</v>
      </c>
      <c r="R28" s="103">
        <f t="shared" si="3"/>
        <v>25.25</v>
      </c>
      <c r="S28" s="93">
        <f>SUM(D28,G28,J28,M28,P28)</f>
        <v>11</v>
      </c>
      <c r="T28" s="28">
        <f>Second_Semester_SGPA[[#This Row],[Total Subject (Total Grade + Credit)]]/Second_Semester_SGPA[[#This Row],[Total Subject Credit]]</f>
        <v>2.2954545454545454</v>
      </c>
    </row>
    <row r="29" spans="1:20" s="21" customFormat="1" x14ac:dyDescent="0.25">
      <c r="A29" s="208" t="s">
        <v>11</v>
      </c>
      <c r="B29" s="207" t="s">
        <v>31</v>
      </c>
      <c r="C29" s="209"/>
      <c r="D29" s="208"/>
      <c r="E29" s="208"/>
      <c r="F29" s="209"/>
      <c r="G29" s="208"/>
      <c r="H29" s="208"/>
      <c r="I29" s="209"/>
      <c r="J29" s="208"/>
      <c r="K29" s="208"/>
      <c r="L29" s="209"/>
      <c r="M29" s="208"/>
      <c r="N29" s="208"/>
      <c r="O29" s="209"/>
      <c r="P29" s="208"/>
      <c r="Q29" s="208"/>
      <c r="R29" s="208"/>
      <c r="S29" s="208"/>
      <c r="T29" s="209"/>
    </row>
    <row r="30" spans="1:20" s="21" customFormat="1" x14ac:dyDescent="0.25">
      <c r="A30" s="20" t="s">
        <v>12</v>
      </c>
      <c r="B30" s="7" t="s">
        <v>37</v>
      </c>
      <c r="C30" s="28" t="str">
        <f t="shared" si="0"/>
        <v>3.25</v>
      </c>
      <c r="D30" s="20">
        <v>3</v>
      </c>
      <c r="E30" s="103">
        <f>Second_Semester_SGPA[[#This Row],[English Language - II]]*Second_Semester_SGPA[[#This Row],[English Language - II Credit]]</f>
        <v>9.75</v>
      </c>
      <c r="F30" s="28" t="str">
        <f t="shared" si="5"/>
        <v>2.50</v>
      </c>
      <c r="G30" s="20">
        <v>3</v>
      </c>
      <c r="H30" s="103">
        <f>Second_Semester_SGPA[[#This Row],[Structured Programming]]*Second_Semester_SGPA[[#This Row],[Structured Programming Credit]]</f>
        <v>7.5</v>
      </c>
      <c r="I30" s="28" t="str">
        <f t="shared" si="6"/>
        <v>3.25</v>
      </c>
      <c r="J30" s="20">
        <v>3</v>
      </c>
      <c r="K30" s="103">
        <f>Second_Semester_SGPA[[#This Row],[Fundamental Website Development]]*Second_Semester_SGPA[[#This Row],[Fundamental Website Development Credit]]</f>
        <v>9.75</v>
      </c>
      <c r="L30" s="28" t="str">
        <f t="shared" si="1"/>
        <v>0.00</v>
      </c>
      <c r="M30" s="93">
        <v>1</v>
      </c>
      <c r="N30" s="103">
        <f>Second_Semester_SGPA[[#This Row],[Structured Programming Lab]]*Second_Semester_SGPA[[#This Row],[Structured Programming Lab Credit]]</f>
        <v>0</v>
      </c>
      <c r="O30" s="28" t="str">
        <f t="shared" si="2"/>
        <v>0.00</v>
      </c>
      <c r="P30" s="93">
        <v>1</v>
      </c>
      <c r="Q30" s="103">
        <f>Second_Semester_SGPA[[#This Row],[Fundamental Website Development Lab]]*Second_Semester_SGPA[[#This Row],[Fundamental Website Development Lab Credit]]</f>
        <v>0</v>
      </c>
      <c r="R30" s="103">
        <f t="shared" si="3"/>
        <v>27</v>
      </c>
      <c r="S30" s="93">
        <f>SUM(D30,G30,J30,M30,P30)</f>
        <v>11</v>
      </c>
      <c r="T30" s="28">
        <f>Second_Semester_SGPA[[#This Row],[Total Subject (Total Grade + Credit)]]/Second_Semester_SGPA[[#This Row],[Total Subject Credit]]</f>
        <v>2.4545454545454546</v>
      </c>
    </row>
    <row r="31" spans="1:20" s="21" customFormat="1" x14ac:dyDescent="0.25">
      <c r="A31" s="20" t="s">
        <v>13</v>
      </c>
      <c r="B31" s="7" t="s">
        <v>38</v>
      </c>
      <c r="C31" s="28" t="str">
        <f t="shared" si="0"/>
        <v>2.00</v>
      </c>
      <c r="D31" s="20">
        <v>3</v>
      </c>
      <c r="E31" s="103">
        <f>Second_Semester_SGPA[[#This Row],[English Language - II]]*Second_Semester_SGPA[[#This Row],[English Language - II Credit]]</f>
        <v>6</v>
      </c>
      <c r="F31" s="28" t="str">
        <f t="shared" si="5"/>
        <v>2.50</v>
      </c>
      <c r="G31" s="20">
        <v>3</v>
      </c>
      <c r="H31" s="103">
        <f>Second_Semester_SGPA[[#This Row],[Structured Programming]]*Second_Semester_SGPA[[#This Row],[Structured Programming Credit]]</f>
        <v>7.5</v>
      </c>
      <c r="I31" s="28" t="str">
        <f t="shared" si="6"/>
        <v>0.00</v>
      </c>
      <c r="J31" s="20">
        <v>3</v>
      </c>
      <c r="K31" s="103">
        <f>Second_Semester_SGPA[[#This Row],[Fundamental Website Development]]*Second_Semester_SGPA[[#This Row],[Fundamental Website Development Credit]]</f>
        <v>0</v>
      </c>
      <c r="L31" s="28" t="str">
        <f t="shared" si="1"/>
        <v>2.75</v>
      </c>
      <c r="M31" s="93">
        <v>1</v>
      </c>
      <c r="N31" s="103">
        <f>Second_Semester_SGPA[[#This Row],[Structured Programming Lab]]*Second_Semester_SGPA[[#This Row],[Structured Programming Lab Credit]]</f>
        <v>2.75</v>
      </c>
      <c r="O31" s="28" t="str">
        <f t="shared" si="2"/>
        <v>3.50</v>
      </c>
      <c r="P31" s="93">
        <v>1</v>
      </c>
      <c r="Q31" s="103">
        <f>Second_Semester_SGPA[[#This Row],[Fundamental Website Development Lab]]*Second_Semester_SGPA[[#This Row],[Fundamental Website Development Lab Credit]]</f>
        <v>3.5</v>
      </c>
      <c r="R31" s="103">
        <f t="shared" si="3"/>
        <v>19.75</v>
      </c>
      <c r="S31" s="93">
        <f>SUM(D31,G31,J31,M31,P31)</f>
        <v>11</v>
      </c>
      <c r="T31" s="28">
        <f>Second_Semester_SGPA[[#This Row],[Total Subject (Total Grade + Credit)]]/Second_Semester_SGPA[[#This Row],[Total Subject Credit]]</f>
        <v>1.7954545454545454</v>
      </c>
    </row>
    <row r="32" spans="1:20" s="21" customFormat="1" x14ac:dyDescent="0.25">
      <c r="A32" s="20" t="s">
        <v>14</v>
      </c>
      <c r="B32" s="7" t="s">
        <v>39</v>
      </c>
      <c r="C32" s="28" t="str">
        <f t="shared" si="0"/>
        <v>3.00</v>
      </c>
      <c r="D32" s="20">
        <v>3</v>
      </c>
      <c r="E32" s="103">
        <f>Second_Semester_SGPA[[#This Row],[English Language - II]]*Second_Semester_SGPA[[#This Row],[English Language - II Credit]]</f>
        <v>9</v>
      </c>
      <c r="F32" s="28" t="str">
        <f t="shared" si="5"/>
        <v>2.25</v>
      </c>
      <c r="G32" s="20">
        <v>3</v>
      </c>
      <c r="H32" s="103">
        <f>Second_Semester_SGPA[[#This Row],[Structured Programming]]*Second_Semester_SGPA[[#This Row],[Structured Programming Credit]]</f>
        <v>6.75</v>
      </c>
      <c r="I32" s="28" t="str">
        <f t="shared" si="6"/>
        <v>3.00</v>
      </c>
      <c r="J32" s="20">
        <v>3</v>
      </c>
      <c r="K32" s="103">
        <f>Second_Semester_SGPA[[#This Row],[Fundamental Website Development]]*Second_Semester_SGPA[[#This Row],[Fundamental Website Development Credit]]</f>
        <v>9</v>
      </c>
      <c r="L32" s="28" t="str">
        <f t="shared" si="1"/>
        <v>2.00</v>
      </c>
      <c r="M32" s="93">
        <v>1</v>
      </c>
      <c r="N32" s="103">
        <f>Second_Semester_SGPA[[#This Row],[Structured Programming Lab]]*Second_Semester_SGPA[[#This Row],[Structured Programming Lab Credit]]</f>
        <v>2</v>
      </c>
      <c r="O32" s="28" t="str">
        <f t="shared" si="2"/>
        <v>3.25</v>
      </c>
      <c r="P32" s="93">
        <v>1</v>
      </c>
      <c r="Q32" s="103">
        <f>Second_Semester_SGPA[[#This Row],[Fundamental Website Development Lab]]*Second_Semester_SGPA[[#This Row],[Fundamental Website Development Lab Credit]]</f>
        <v>3.25</v>
      </c>
      <c r="R32" s="103">
        <f t="shared" si="3"/>
        <v>30</v>
      </c>
      <c r="S32" s="93">
        <f>SUM(D32,G32,J32,M32,P32)</f>
        <v>11</v>
      </c>
      <c r="T32" s="28">
        <f>Second_Semester_SGPA[[#This Row],[Total Subject (Total Grade + Credit)]]/Second_Semester_SGPA[[#This Row],[Total Subject Credit]]</f>
        <v>2.7272727272727271</v>
      </c>
    </row>
    <row r="33" spans="1:20" s="21" customFormat="1" x14ac:dyDescent="0.25">
      <c r="A33" s="20" t="s">
        <v>15</v>
      </c>
      <c r="B33" s="7" t="s">
        <v>40</v>
      </c>
      <c r="C33" s="28" t="str">
        <f t="shared" si="0"/>
        <v>2.00</v>
      </c>
      <c r="D33" s="20">
        <v>3</v>
      </c>
      <c r="E33" s="103">
        <f>Second_Semester_SGPA[[#This Row],[English Language - II]]*Second_Semester_SGPA[[#This Row],[English Language - II Credit]]</f>
        <v>6</v>
      </c>
      <c r="F33" s="28" t="str">
        <f t="shared" si="5"/>
        <v>0.00</v>
      </c>
      <c r="G33" s="20">
        <v>3</v>
      </c>
      <c r="H33" s="103">
        <f>Second_Semester_SGPA[[#This Row],[Structured Programming]]*Second_Semester_SGPA[[#This Row],[Structured Programming Credit]]</f>
        <v>0</v>
      </c>
      <c r="I33" s="28" t="str">
        <f t="shared" si="6"/>
        <v>3.25</v>
      </c>
      <c r="J33" s="20">
        <v>3</v>
      </c>
      <c r="K33" s="103">
        <f>Second_Semester_SGPA[[#This Row],[Fundamental Website Development]]*Second_Semester_SGPA[[#This Row],[Fundamental Website Development Credit]]</f>
        <v>9.75</v>
      </c>
      <c r="L33" s="28" t="str">
        <f t="shared" si="1"/>
        <v>2.25</v>
      </c>
      <c r="M33" s="93">
        <v>1</v>
      </c>
      <c r="N33" s="103">
        <f>Second_Semester_SGPA[[#This Row],[Structured Programming Lab]]*Second_Semester_SGPA[[#This Row],[Structured Programming Lab Credit]]</f>
        <v>2.25</v>
      </c>
      <c r="O33" s="28" t="str">
        <f t="shared" si="2"/>
        <v>0.00</v>
      </c>
      <c r="P33" s="93">
        <v>1</v>
      </c>
      <c r="Q33" s="103">
        <f>Second_Semester_SGPA[[#This Row],[Fundamental Website Development Lab]]*Second_Semester_SGPA[[#This Row],[Fundamental Website Development Lab Credit]]</f>
        <v>0</v>
      </c>
      <c r="R33" s="103">
        <f t="shared" si="3"/>
        <v>18</v>
      </c>
      <c r="S33" s="93">
        <f>SUM(D33,G33,J33,M33,P33)</f>
        <v>11</v>
      </c>
      <c r="T33" s="28">
        <f>Second_Semester_SGPA[[#This Row],[Total Subject (Total Grade + Credit)]]/Second_Semester_SGPA[[#This Row],[Total Subject Credit]]</f>
        <v>1.6363636363636365</v>
      </c>
    </row>
    <row r="34" spans="1:20" s="21" customFormat="1" x14ac:dyDescent="0.25">
      <c r="A34" s="208" t="s">
        <v>16</v>
      </c>
      <c r="B34" s="207" t="s">
        <v>31</v>
      </c>
      <c r="C34" s="209"/>
      <c r="D34" s="208"/>
      <c r="E34" s="208"/>
      <c r="F34" s="209"/>
      <c r="G34" s="208"/>
      <c r="H34" s="208"/>
      <c r="I34" s="209"/>
      <c r="J34" s="208"/>
      <c r="K34" s="208"/>
      <c r="L34" s="209"/>
      <c r="M34" s="208"/>
      <c r="N34" s="208"/>
      <c r="O34" s="209"/>
      <c r="P34" s="208"/>
      <c r="Q34" s="208"/>
      <c r="R34" s="208"/>
      <c r="S34" s="208"/>
      <c r="T34" s="209"/>
    </row>
    <row r="35" spans="1:20" x14ac:dyDescent="0.25">
      <c r="A35" s="20" t="s">
        <v>17</v>
      </c>
      <c r="B35" s="7" t="s">
        <v>41</v>
      </c>
      <c r="C35" s="28" t="str">
        <f t="shared" si="0"/>
        <v>0.00</v>
      </c>
      <c r="D35" s="20">
        <v>3</v>
      </c>
      <c r="E35" s="103">
        <f>Second_Semester_SGPA[[#This Row],[English Language - II]]*Second_Semester_SGPA[[#This Row],[English Language - II Credit]]</f>
        <v>0</v>
      </c>
      <c r="F35" s="28" t="str">
        <f t="shared" si="5"/>
        <v>2.00</v>
      </c>
      <c r="G35" s="20">
        <v>3</v>
      </c>
      <c r="H35" s="103">
        <f>Second_Semester_SGPA[[#This Row],[Structured Programming]]*Second_Semester_SGPA[[#This Row],[Structured Programming Credit]]</f>
        <v>6</v>
      </c>
      <c r="I35" s="28" t="str">
        <f t="shared" si="6"/>
        <v>2.75</v>
      </c>
      <c r="J35" s="20">
        <v>3</v>
      </c>
      <c r="K35" s="103">
        <f>Second_Semester_SGPA[[#This Row],[Fundamental Website Development]]*Second_Semester_SGPA[[#This Row],[Fundamental Website Development Credit]]</f>
        <v>8.25</v>
      </c>
      <c r="L35" s="28" t="str">
        <f t="shared" si="1"/>
        <v>3.50</v>
      </c>
      <c r="M35" s="93">
        <v>1</v>
      </c>
      <c r="N35" s="103">
        <f>Second_Semester_SGPA[[#This Row],[Structured Programming Lab]]*Second_Semester_SGPA[[#This Row],[Structured Programming Lab Credit]]</f>
        <v>3.5</v>
      </c>
      <c r="O35" s="28" t="str">
        <f t="shared" si="2"/>
        <v>3.25</v>
      </c>
      <c r="P35" s="93">
        <v>1</v>
      </c>
      <c r="Q35" s="103">
        <f>Second_Semester_SGPA[[#This Row],[Fundamental Website Development Lab]]*Second_Semester_SGPA[[#This Row],[Fundamental Website Development Lab Credit]]</f>
        <v>3.25</v>
      </c>
      <c r="R35" s="103">
        <f t="shared" si="3"/>
        <v>21</v>
      </c>
      <c r="S35" s="93">
        <f t="shared" ref="S35:S44" si="7">SUM(D35,G35,J35,M35,P35)</f>
        <v>11</v>
      </c>
      <c r="T35" s="28">
        <f>Second_Semester_SGPA[[#This Row],[Total Subject (Total Grade + Credit)]]/Second_Semester_SGPA[[#This Row],[Total Subject Credit]]</f>
        <v>1.9090909090909092</v>
      </c>
    </row>
    <row r="36" spans="1:20" x14ac:dyDescent="0.25">
      <c r="A36" s="20" t="s">
        <v>18</v>
      </c>
      <c r="B36" s="7" t="s">
        <v>42</v>
      </c>
      <c r="C36" s="28" t="str">
        <f t="shared" si="0"/>
        <v>2.50</v>
      </c>
      <c r="D36" s="20">
        <v>3</v>
      </c>
      <c r="E36" s="103">
        <f>Second_Semester_SGPA[[#This Row],[English Language - II]]*Second_Semester_SGPA[[#This Row],[English Language - II Credit]]</f>
        <v>7.5</v>
      </c>
      <c r="F36" s="28" t="str">
        <f t="shared" si="5"/>
        <v>2.50</v>
      </c>
      <c r="G36" s="20">
        <v>3</v>
      </c>
      <c r="H36" s="103">
        <f>Second_Semester_SGPA[[#This Row],[Structured Programming]]*Second_Semester_SGPA[[#This Row],[Structured Programming Credit]]</f>
        <v>7.5</v>
      </c>
      <c r="I36" s="28" t="str">
        <f t="shared" si="6"/>
        <v>0.00</v>
      </c>
      <c r="J36" s="20">
        <v>3</v>
      </c>
      <c r="K36" s="103">
        <f>Second_Semester_SGPA[[#This Row],[Fundamental Website Development]]*Second_Semester_SGPA[[#This Row],[Fundamental Website Development Credit]]</f>
        <v>0</v>
      </c>
      <c r="L36" s="28" t="str">
        <f t="shared" si="1"/>
        <v>3.00</v>
      </c>
      <c r="M36" s="93">
        <v>1</v>
      </c>
      <c r="N36" s="103">
        <f>Second_Semester_SGPA[[#This Row],[Structured Programming Lab]]*Second_Semester_SGPA[[#This Row],[Structured Programming Lab Credit]]</f>
        <v>3</v>
      </c>
      <c r="O36" s="28" t="str">
        <f t="shared" si="2"/>
        <v>2.75</v>
      </c>
      <c r="P36" s="93">
        <v>1</v>
      </c>
      <c r="Q36" s="103">
        <f>Second_Semester_SGPA[[#This Row],[Fundamental Website Development Lab]]*Second_Semester_SGPA[[#This Row],[Fundamental Website Development Lab Credit]]</f>
        <v>2.75</v>
      </c>
      <c r="R36" s="103">
        <f t="shared" si="3"/>
        <v>20.75</v>
      </c>
      <c r="S36" s="93">
        <f t="shared" si="7"/>
        <v>11</v>
      </c>
      <c r="T36" s="28">
        <f>Second_Semester_SGPA[[#This Row],[Total Subject (Total Grade + Credit)]]/Second_Semester_SGPA[[#This Row],[Total Subject Credit]]</f>
        <v>1.8863636363636365</v>
      </c>
    </row>
    <row r="37" spans="1:20" x14ac:dyDescent="0.25">
      <c r="A37" s="20" t="s">
        <v>19</v>
      </c>
      <c r="B37" s="7" t="s">
        <v>43</v>
      </c>
      <c r="C37" s="28" t="str">
        <f t="shared" si="0"/>
        <v>0.00</v>
      </c>
      <c r="D37" s="20">
        <v>3</v>
      </c>
      <c r="E37" s="103">
        <f>Second_Semester_SGPA[[#This Row],[English Language - II]]*Second_Semester_SGPA[[#This Row],[English Language - II Credit]]</f>
        <v>0</v>
      </c>
      <c r="F37" s="28" t="str">
        <f t="shared" si="5"/>
        <v>3.25</v>
      </c>
      <c r="G37" s="20">
        <v>3</v>
      </c>
      <c r="H37" s="103">
        <f>Second_Semester_SGPA[[#This Row],[Structured Programming]]*Second_Semester_SGPA[[#This Row],[Structured Programming Credit]]</f>
        <v>9.75</v>
      </c>
      <c r="I37" s="28" t="str">
        <f t="shared" si="6"/>
        <v>3.25</v>
      </c>
      <c r="J37" s="20">
        <v>3</v>
      </c>
      <c r="K37" s="103">
        <f>Second_Semester_SGPA[[#This Row],[Fundamental Website Development]]*Second_Semester_SGPA[[#This Row],[Fundamental Website Development Credit]]</f>
        <v>9.75</v>
      </c>
      <c r="L37" s="28" t="str">
        <f t="shared" si="1"/>
        <v>2.25</v>
      </c>
      <c r="M37" s="93">
        <v>1</v>
      </c>
      <c r="N37" s="103">
        <f>Second_Semester_SGPA[[#This Row],[Structured Programming Lab]]*Second_Semester_SGPA[[#This Row],[Structured Programming Lab Credit]]</f>
        <v>2.25</v>
      </c>
      <c r="O37" s="28" t="str">
        <f t="shared" si="2"/>
        <v>2.50</v>
      </c>
      <c r="P37" s="93">
        <v>1</v>
      </c>
      <c r="Q37" s="103">
        <f>Second_Semester_SGPA[[#This Row],[Fundamental Website Development Lab]]*Second_Semester_SGPA[[#This Row],[Fundamental Website Development Lab Credit]]</f>
        <v>2.5</v>
      </c>
      <c r="R37" s="103">
        <f t="shared" si="3"/>
        <v>24.25</v>
      </c>
      <c r="S37" s="93">
        <f t="shared" si="7"/>
        <v>11</v>
      </c>
      <c r="T37" s="28">
        <f>Second_Semester_SGPA[[#This Row],[Total Subject (Total Grade + Credit)]]/Second_Semester_SGPA[[#This Row],[Total Subject Credit]]</f>
        <v>2.2045454545454546</v>
      </c>
    </row>
    <row r="38" spans="1:20" x14ac:dyDescent="0.25">
      <c r="A38" s="20" t="s">
        <v>23</v>
      </c>
      <c r="B38" s="7" t="s">
        <v>44</v>
      </c>
      <c r="C38" s="28" t="str">
        <f t="shared" si="0"/>
        <v>3.75</v>
      </c>
      <c r="D38" s="20">
        <v>3</v>
      </c>
      <c r="E38" s="103">
        <f>Second_Semester_SGPA[[#This Row],[English Language - II]]*Second_Semester_SGPA[[#This Row],[English Language - II Credit]]</f>
        <v>11.25</v>
      </c>
      <c r="F38" s="28" t="str">
        <f t="shared" si="5"/>
        <v>2.00</v>
      </c>
      <c r="G38" s="20">
        <v>3</v>
      </c>
      <c r="H38" s="103">
        <f>Second_Semester_SGPA[[#This Row],[Structured Programming]]*Second_Semester_SGPA[[#This Row],[Structured Programming Credit]]</f>
        <v>6</v>
      </c>
      <c r="I38" s="28" t="str">
        <f t="shared" si="6"/>
        <v>3.75</v>
      </c>
      <c r="J38" s="20">
        <v>3</v>
      </c>
      <c r="K38" s="103">
        <f>Second_Semester_SGPA[[#This Row],[Fundamental Website Development]]*Second_Semester_SGPA[[#This Row],[Fundamental Website Development Credit]]</f>
        <v>11.25</v>
      </c>
      <c r="L38" s="28" t="str">
        <f t="shared" si="1"/>
        <v>2.50</v>
      </c>
      <c r="M38" s="93">
        <v>1</v>
      </c>
      <c r="N38" s="103">
        <f>Second_Semester_SGPA[[#This Row],[Structured Programming Lab]]*Second_Semester_SGPA[[#This Row],[Structured Programming Lab Credit]]</f>
        <v>2.5</v>
      </c>
      <c r="O38" s="28" t="str">
        <f t="shared" si="2"/>
        <v>2.75</v>
      </c>
      <c r="P38" s="93">
        <v>1</v>
      </c>
      <c r="Q38" s="103">
        <f>Second_Semester_SGPA[[#This Row],[Fundamental Website Development Lab]]*Second_Semester_SGPA[[#This Row],[Fundamental Website Development Lab Credit]]</f>
        <v>2.75</v>
      </c>
      <c r="R38" s="103">
        <f t="shared" si="3"/>
        <v>33.75</v>
      </c>
      <c r="S38" s="93">
        <f t="shared" si="7"/>
        <v>11</v>
      </c>
      <c r="T38" s="28">
        <f>Second_Semester_SGPA[[#This Row],[Total Subject (Total Grade + Credit)]]/Second_Semester_SGPA[[#This Row],[Total Subject Credit]]</f>
        <v>3.0681818181818183</v>
      </c>
    </row>
    <row r="39" spans="1:20" x14ac:dyDescent="0.25">
      <c r="A39" s="20" t="s">
        <v>24</v>
      </c>
      <c r="B39" s="7" t="s">
        <v>45</v>
      </c>
      <c r="C39" s="28" t="str">
        <f t="shared" si="0"/>
        <v>3.25</v>
      </c>
      <c r="D39" s="20">
        <v>3</v>
      </c>
      <c r="E39" s="103">
        <f>Second_Semester_SGPA[[#This Row],[English Language - II]]*Second_Semester_SGPA[[#This Row],[English Language - II Credit]]</f>
        <v>9.75</v>
      </c>
      <c r="F39" s="28" t="str">
        <f t="shared" si="5"/>
        <v>2.50</v>
      </c>
      <c r="G39" s="20">
        <v>3</v>
      </c>
      <c r="H39" s="103">
        <f>Second_Semester_SGPA[[#This Row],[Structured Programming]]*Second_Semester_SGPA[[#This Row],[Structured Programming Credit]]</f>
        <v>7.5</v>
      </c>
      <c r="I39" s="28" t="str">
        <f t="shared" si="6"/>
        <v>2.75</v>
      </c>
      <c r="J39" s="20">
        <v>3</v>
      </c>
      <c r="K39" s="103">
        <f>Second_Semester_SGPA[[#This Row],[Fundamental Website Development]]*Second_Semester_SGPA[[#This Row],[Fundamental Website Development Credit]]</f>
        <v>8.25</v>
      </c>
      <c r="L39" s="28" t="str">
        <f t="shared" si="1"/>
        <v>3.00</v>
      </c>
      <c r="M39" s="93">
        <v>1</v>
      </c>
      <c r="N39" s="103">
        <f>Second_Semester_SGPA[[#This Row],[Structured Programming Lab]]*Second_Semester_SGPA[[#This Row],[Structured Programming Lab Credit]]</f>
        <v>3</v>
      </c>
      <c r="O39" s="28" t="str">
        <f t="shared" si="2"/>
        <v>2.00</v>
      </c>
      <c r="P39" s="93">
        <v>1</v>
      </c>
      <c r="Q39" s="103">
        <f>Second_Semester_SGPA[[#This Row],[Fundamental Website Development Lab]]*Second_Semester_SGPA[[#This Row],[Fundamental Website Development Lab Credit]]</f>
        <v>2</v>
      </c>
      <c r="R39" s="103">
        <f t="shared" si="3"/>
        <v>30.5</v>
      </c>
      <c r="S39" s="93">
        <f t="shared" si="7"/>
        <v>11</v>
      </c>
      <c r="T39" s="28">
        <f>Second_Semester_SGPA[[#This Row],[Total Subject (Total Grade + Credit)]]/Second_Semester_SGPA[[#This Row],[Total Subject Credit]]</f>
        <v>2.7727272727272729</v>
      </c>
    </row>
    <row r="40" spans="1:20" x14ac:dyDescent="0.25">
      <c r="A40" s="20" t="s">
        <v>25</v>
      </c>
      <c r="B40" s="7" t="s">
        <v>46</v>
      </c>
      <c r="C40" s="28" t="str">
        <f t="shared" si="0"/>
        <v>0.00</v>
      </c>
      <c r="D40" s="20">
        <v>3</v>
      </c>
      <c r="E40" s="103">
        <f>Second_Semester_SGPA[[#This Row],[English Language - II]]*Second_Semester_SGPA[[#This Row],[English Language - II Credit]]</f>
        <v>0</v>
      </c>
      <c r="F40" s="28" t="str">
        <f t="shared" si="5"/>
        <v>2.00</v>
      </c>
      <c r="G40" s="20">
        <v>3</v>
      </c>
      <c r="H40" s="103">
        <f>Second_Semester_SGPA[[#This Row],[Structured Programming]]*Second_Semester_SGPA[[#This Row],[Structured Programming Credit]]</f>
        <v>6</v>
      </c>
      <c r="I40" s="28" t="str">
        <f t="shared" si="6"/>
        <v>0.00</v>
      </c>
      <c r="J40" s="20">
        <v>3</v>
      </c>
      <c r="K40" s="103">
        <f>Second_Semester_SGPA[[#This Row],[Fundamental Website Development]]*Second_Semester_SGPA[[#This Row],[Fundamental Website Development Credit]]</f>
        <v>0</v>
      </c>
      <c r="L40" s="28" t="str">
        <f t="shared" si="1"/>
        <v>2.00</v>
      </c>
      <c r="M40" s="93">
        <v>1</v>
      </c>
      <c r="N40" s="103">
        <f>Second_Semester_SGPA[[#This Row],[Structured Programming Lab]]*Second_Semester_SGPA[[#This Row],[Structured Programming Lab Credit]]</f>
        <v>2</v>
      </c>
      <c r="O40" s="28" t="str">
        <f t="shared" si="2"/>
        <v>0.00</v>
      </c>
      <c r="P40" s="93">
        <v>1</v>
      </c>
      <c r="Q40" s="103">
        <f>Second_Semester_SGPA[[#This Row],[Fundamental Website Development Lab]]*Second_Semester_SGPA[[#This Row],[Fundamental Website Development Lab Credit]]</f>
        <v>0</v>
      </c>
      <c r="R40" s="103">
        <f t="shared" si="3"/>
        <v>8</v>
      </c>
      <c r="S40" s="93">
        <f t="shared" si="7"/>
        <v>11</v>
      </c>
      <c r="T40" s="28">
        <f>Second_Semester_SGPA[[#This Row],[Total Subject (Total Grade + Credit)]]/Second_Semester_SGPA[[#This Row],[Total Subject Credit]]</f>
        <v>0.72727272727272729</v>
      </c>
    </row>
    <row r="41" spans="1:20" x14ac:dyDescent="0.25">
      <c r="A41" s="20" t="s">
        <v>26</v>
      </c>
      <c r="B41" s="7" t="s">
        <v>47</v>
      </c>
      <c r="C41" s="28" t="str">
        <f t="shared" si="0"/>
        <v>0.00</v>
      </c>
      <c r="D41" s="20">
        <v>3</v>
      </c>
      <c r="E41" s="103">
        <f>Second_Semester_SGPA[[#This Row],[English Language - II]]*Second_Semester_SGPA[[#This Row],[English Language - II Credit]]</f>
        <v>0</v>
      </c>
      <c r="F41" s="28" t="str">
        <f t="shared" si="5"/>
        <v>3.50</v>
      </c>
      <c r="G41" s="20">
        <v>3</v>
      </c>
      <c r="H41" s="103">
        <f>Second_Semester_SGPA[[#This Row],[Structured Programming]]*Second_Semester_SGPA[[#This Row],[Structured Programming Credit]]</f>
        <v>10.5</v>
      </c>
      <c r="I41" s="28" t="str">
        <f t="shared" si="6"/>
        <v>2.25</v>
      </c>
      <c r="J41" s="20">
        <v>3</v>
      </c>
      <c r="K41" s="103">
        <f>Second_Semester_SGPA[[#This Row],[Fundamental Website Development]]*Second_Semester_SGPA[[#This Row],[Fundamental Website Development Credit]]</f>
        <v>6.75</v>
      </c>
      <c r="L41" s="28" t="str">
        <f t="shared" si="1"/>
        <v>4.00</v>
      </c>
      <c r="M41" s="93">
        <v>1</v>
      </c>
      <c r="N41" s="103">
        <f>Second_Semester_SGPA[[#This Row],[Structured Programming Lab]]*Second_Semester_SGPA[[#This Row],[Structured Programming Lab Credit]]</f>
        <v>4</v>
      </c>
      <c r="O41" s="28" t="str">
        <f t="shared" si="2"/>
        <v>3.50</v>
      </c>
      <c r="P41" s="93">
        <v>1</v>
      </c>
      <c r="Q41" s="103">
        <f>Second_Semester_SGPA[[#This Row],[Fundamental Website Development Lab]]*Second_Semester_SGPA[[#This Row],[Fundamental Website Development Lab Credit]]</f>
        <v>3.5</v>
      </c>
      <c r="R41" s="103">
        <f t="shared" si="3"/>
        <v>24.75</v>
      </c>
      <c r="S41" s="93">
        <f t="shared" si="7"/>
        <v>11</v>
      </c>
      <c r="T41" s="28">
        <f>Second_Semester_SGPA[[#This Row],[Total Subject (Total Grade + Credit)]]/Second_Semester_SGPA[[#This Row],[Total Subject Credit]]</f>
        <v>2.25</v>
      </c>
    </row>
    <row r="42" spans="1:20" x14ac:dyDescent="0.25">
      <c r="A42" s="20" t="s">
        <v>50</v>
      </c>
      <c r="B42" s="7" t="s">
        <v>51</v>
      </c>
      <c r="C42" s="28" t="str">
        <f t="shared" si="0"/>
        <v>4.00</v>
      </c>
      <c r="D42" s="20">
        <v>3</v>
      </c>
      <c r="E42" s="103">
        <f>Second_Semester_SGPA[[#This Row],[English Language - II]]*Second_Semester_SGPA[[#This Row],[English Language - II Credit]]</f>
        <v>12</v>
      </c>
      <c r="F42" s="28" t="str">
        <f t="shared" si="5"/>
        <v>3.00</v>
      </c>
      <c r="G42" s="20">
        <v>3</v>
      </c>
      <c r="H42" s="103">
        <f>Second_Semester_SGPA[[#This Row],[Structured Programming]]*Second_Semester_SGPA[[#This Row],[Structured Programming Credit]]</f>
        <v>9</v>
      </c>
      <c r="I42" s="28" t="str">
        <f t="shared" si="6"/>
        <v>3.25</v>
      </c>
      <c r="J42" s="20">
        <v>3</v>
      </c>
      <c r="K42" s="103">
        <f>Second_Semester_SGPA[[#This Row],[Fundamental Website Development]]*Second_Semester_SGPA[[#This Row],[Fundamental Website Development Credit]]</f>
        <v>9.75</v>
      </c>
      <c r="L42" s="28" t="str">
        <f t="shared" si="1"/>
        <v>0.00</v>
      </c>
      <c r="M42" s="93">
        <v>1</v>
      </c>
      <c r="N42" s="103">
        <f>Second_Semester_SGPA[[#This Row],[Structured Programming Lab]]*Second_Semester_SGPA[[#This Row],[Structured Programming Lab Credit]]</f>
        <v>0</v>
      </c>
      <c r="O42" s="28" t="str">
        <f t="shared" si="2"/>
        <v>3.25</v>
      </c>
      <c r="P42" s="93">
        <v>1</v>
      </c>
      <c r="Q42" s="103">
        <f>Second_Semester_SGPA[[#This Row],[Fundamental Website Development Lab]]*Second_Semester_SGPA[[#This Row],[Fundamental Website Development Lab Credit]]</f>
        <v>3.25</v>
      </c>
      <c r="R42" s="103">
        <f t="shared" si="3"/>
        <v>34</v>
      </c>
      <c r="S42" s="93">
        <f t="shared" si="7"/>
        <v>11</v>
      </c>
      <c r="T42" s="28">
        <f>Second_Semester_SGPA[[#This Row],[Total Subject (Total Grade + Credit)]]/Second_Semester_SGPA[[#This Row],[Total Subject Credit]]</f>
        <v>3.0909090909090908</v>
      </c>
    </row>
    <row r="43" spans="1:20" x14ac:dyDescent="0.25">
      <c r="A43" s="20" t="s">
        <v>53</v>
      </c>
      <c r="B43" s="7" t="s">
        <v>54</v>
      </c>
      <c r="C43" s="28" t="str">
        <f t="shared" si="0"/>
        <v>0.00</v>
      </c>
      <c r="D43" s="20">
        <v>3</v>
      </c>
      <c r="E43" s="103">
        <f>Second_Semester_SGPA[[#This Row],[English Language - II]]*Second_Semester_SGPA[[#This Row],[English Language - II Credit]]</f>
        <v>0</v>
      </c>
      <c r="F43" s="28" t="str">
        <f t="shared" si="5"/>
        <v>3.75</v>
      </c>
      <c r="G43" s="20">
        <v>3</v>
      </c>
      <c r="H43" s="103">
        <f>Second_Semester_SGPA[[#This Row],[Structured Programming]]*Second_Semester_SGPA[[#This Row],[Structured Programming Credit]]</f>
        <v>11.25</v>
      </c>
      <c r="I43" s="28" t="str">
        <f t="shared" si="6"/>
        <v>2.75</v>
      </c>
      <c r="J43" s="20">
        <v>3</v>
      </c>
      <c r="K43" s="103">
        <f>Second_Semester_SGPA[[#This Row],[Fundamental Website Development]]*Second_Semester_SGPA[[#This Row],[Fundamental Website Development Credit]]</f>
        <v>8.25</v>
      </c>
      <c r="L43" s="28" t="str">
        <f t="shared" si="1"/>
        <v>2.75</v>
      </c>
      <c r="M43" s="93">
        <v>1</v>
      </c>
      <c r="N43" s="103">
        <f>Second_Semester_SGPA[[#This Row],[Structured Programming Lab]]*Second_Semester_SGPA[[#This Row],[Structured Programming Lab Credit]]</f>
        <v>2.75</v>
      </c>
      <c r="O43" s="28" t="str">
        <f t="shared" si="2"/>
        <v>0.00</v>
      </c>
      <c r="P43" s="93">
        <v>1</v>
      </c>
      <c r="Q43" s="103">
        <f>Second_Semester_SGPA[[#This Row],[Fundamental Website Development Lab]]*Second_Semester_SGPA[[#This Row],[Fundamental Website Development Lab Credit]]</f>
        <v>0</v>
      </c>
      <c r="R43" s="103">
        <f t="shared" si="3"/>
        <v>22.25</v>
      </c>
      <c r="S43" s="93">
        <f t="shared" si="7"/>
        <v>11</v>
      </c>
      <c r="T43" s="28">
        <f>Second_Semester_SGPA[[#This Row],[Total Subject (Total Grade + Credit)]]/Second_Semester_SGPA[[#This Row],[Total Subject Credit]]</f>
        <v>2.0227272727272729</v>
      </c>
    </row>
    <row r="44" spans="1:20" x14ac:dyDescent="0.25">
      <c r="A44" s="20" t="s">
        <v>60</v>
      </c>
      <c r="B44" s="7" t="s">
        <v>61</v>
      </c>
      <c r="C44" s="28" t="str">
        <f t="shared" si="0"/>
        <v>2.00</v>
      </c>
      <c r="D44" s="20">
        <v>3</v>
      </c>
      <c r="E44" s="103">
        <f>Second_Semester_SGPA[[#This Row],[English Language - II]]*Second_Semester_SGPA[[#This Row],[English Language - II Credit]]</f>
        <v>6</v>
      </c>
      <c r="F44" s="28" t="str">
        <f t="shared" si="5"/>
        <v>0.00</v>
      </c>
      <c r="G44" s="20">
        <v>3</v>
      </c>
      <c r="H44" s="103">
        <f>Second_Semester_SGPA[[#This Row],[Structured Programming]]*Second_Semester_SGPA[[#This Row],[Structured Programming Credit]]</f>
        <v>0</v>
      </c>
      <c r="I44" s="28" t="str">
        <f t="shared" si="6"/>
        <v>3.75</v>
      </c>
      <c r="J44" s="20">
        <v>3</v>
      </c>
      <c r="K44" s="103">
        <f>Second_Semester_SGPA[[#This Row],[Fundamental Website Development]]*Second_Semester_SGPA[[#This Row],[Fundamental Website Development Credit]]</f>
        <v>11.25</v>
      </c>
      <c r="L44" s="28" t="str">
        <f t="shared" si="1"/>
        <v>0.00</v>
      </c>
      <c r="M44" s="93">
        <v>1</v>
      </c>
      <c r="N44" s="103">
        <f>Second_Semester_SGPA[[#This Row],[Structured Programming Lab]]*Second_Semester_SGPA[[#This Row],[Structured Programming Lab Credit]]</f>
        <v>0</v>
      </c>
      <c r="O44" s="28" t="str">
        <f t="shared" si="2"/>
        <v>3.25</v>
      </c>
      <c r="P44" s="93">
        <v>1</v>
      </c>
      <c r="Q44" s="103">
        <f>Second_Semester_SGPA[[#This Row],[Fundamental Website Development Lab]]*Second_Semester_SGPA[[#This Row],[Fundamental Website Development Lab Credit]]</f>
        <v>3.25</v>
      </c>
      <c r="R44" s="103">
        <f t="shared" si="3"/>
        <v>20.5</v>
      </c>
      <c r="S44" s="93">
        <f t="shared" si="7"/>
        <v>11</v>
      </c>
      <c r="T44" s="28">
        <f>Second_Semester_SGPA[[#This Row],[Total Subject (Total Grade + Credit)]]/Second_Semester_SGPA[[#This Row],[Total Subject Credit]]</f>
        <v>1.8636363636363635</v>
      </c>
    </row>
    <row r="56" spans="1:20" x14ac:dyDescent="0.25">
      <c r="R56" s="9"/>
      <c r="S56" s="9"/>
    </row>
    <row r="57" spans="1:20" x14ac:dyDescent="0.25">
      <c r="R57" s="9"/>
      <c r="S57" s="9"/>
    </row>
    <row r="58" spans="1:20" x14ac:dyDescent="0.25">
      <c r="R58" s="9"/>
      <c r="S58" s="9"/>
    </row>
    <row r="59" spans="1:20" ht="15" customHeight="1" x14ac:dyDescent="0.25">
      <c r="A59" s="67"/>
      <c r="B59" s="67"/>
      <c r="C59" s="67"/>
      <c r="D59" s="67"/>
      <c r="E59" s="67"/>
      <c r="F59" s="67"/>
      <c r="G59" s="67"/>
      <c r="H59" s="67"/>
      <c r="I59" s="67"/>
      <c r="J59" s="67"/>
      <c r="K59" s="67"/>
      <c r="L59" s="67"/>
      <c r="M59" s="67"/>
      <c r="N59" s="67"/>
      <c r="O59" s="67"/>
      <c r="P59" s="67"/>
      <c r="Q59" s="67"/>
      <c r="R59" s="67"/>
      <c r="S59" s="67"/>
      <c r="T59" s="67"/>
    </row>
    <row r="60" spans="1:20" s="58" customFormat="1" ht="27" customHeight="1" x14ac:dyDescent="0.25">
      <c r="A60" s="293" t="s">
        <v>163</v>
      </c>
      <c r="B60" s="293"/>
      <c r="C60" s="56" t="s">
        <v>165</v>
      </c>
      <c r="D60" s="56"/>
      <c r="E60" s="56"/>
      <c r="F60" s="294" t="s">
        <v>333</v>
      </c>
      <c r="G60" s="294"/>
      <c r="H60" s="294"/>
      <c r="I60" s="294"/>
      <c r="J60" s="294"/>
      <c r="K60" s="294"/>
      <c r="L60" s="294"/>
      <c r="M60" s="56"/>
      <c r="N60" s="56"/>
      <c r="O60" s="56"/>
      <c r="P60" s="56"/>
      <c r="Q60" s="56"/>
      <c r="R60" s="56"/>
      <c r="S60" s="64" t="s">
        <v>167</v>
      </c>
      <c r="T60" s="65">
        <v>44436</v>
      </c>
    </row>
    <row r="61" spans="1:20" ht="27" customHeight="1" thickBot="1" x14ac:dyDescent="0.3">
      <c r="A61" s="296" t="s">
        <v>164</v>
      </c>
      <c r="B61" s="296"/>
      <c r="C61" s="63" t="s">
        <v>166</v>
      </c>
      <c r="D61" s="63"/>
      <c r="E61" s="62"/>
      <c r="F61" s="295"/>
      <c r="G61" s="295"/>
      <c r="H61" s="295"/>
      <c r="I61" s="295"/>
      <c r="J61" s="295"/>
      <c r="K61" s="295"/>
      <c r="L61" s="295"/>
      <c r="M61" s="32"/>
      <c r="N61" s="32"/>
      <c r="O61" s="32"/>
      <c r="P61" s="32"/>
      <c r="Q61" s="32"/>
      <c r="R61" s="32"/>
      <c r="S61" s="61" t="s">
        <v>168</v>
      </c>
      <c r="T61" s="66">
        <v>0.91666666666666663</v>
      </c>
    </row>
    <row r="62" spans="1:20" x14ac:dyDescent="0.25">
      <c r="A62" s="58" t="s">
        <v>0</v>
      </c>
      <c r="B62" s="57" t="s">
        <v>20</v>
      </c>
      <c r="C62" s="20" t="s">
        <v>132</v>
      </c>
      <c r="D62" s="20" t="s">
        <v>133</v>
      </c>
      <c r="E62" s="20" t="s">
        <v>134</v>
      </c>
      <c r="F62" s="20" t="s">
        <v>135</v>
      </c>
      <c r="G62" s="27" t="s">
        <v>136</v>
      </c>
      <c r="H62" s="20" t="s">
        <v>137</v>
      </c>
      <c r="I62" s="20" t="s">
        <v>138</v>
      </c>
      <c r="J62" s="20" t="s">
        <v>139</v>
      </c>
      <c r="K62" s="103" t="s">
        <v>140</v>
      </c>
      <c r="L62" s="74" t="s">
        <v>141</v>
      </c>
      <c r="M62" s="20" t="s">
        <v>143</v>
      </c>
      <c r="N62" s="20" t="s">
        <v>144</v>
      </c>
      <c r="O62" s="103" t="s">
        <v>145</v>
      </c>
      <c r="P62" s="60" t="s">
        <v>146</v>
      </c>
      <c r="Q62" s="75" t="s">
        <v>147</v>
      </c>
      <c r="R62" s="75" t="s">
        <v>148</v>
      </c>
      <c r="S62" s="255" t="s">
        <v>149</v>
      </c>
      <c r="T62" s="60" t="s">
        <v>150</v>
      </c>
    </row>
    <row r="63" spans="1:20" s="21" customFormat="1" x14ac:dyDescent="0.25">
      <c r="A63" s="15"/>
      <c r="B63" s="49" t="s">
        <v>142</v>
      </c>
      <c r="C63" s="50">
        <v>15</v>
      </c>
      <c r="D63" s="50">
        <v>15</v>
      </c>
      <c r="E63" s="50">
        <v>15</v>
      </c>
      <c r="F63" s="51">
        <v>15</v>
      </c>
      <c r="G63" s="52">
        <v>15</v>
      </c>
      <c r="H63" s="50">
        <v>5</v>
      </c>
      <c r="I63" s="50">
        <v>8</v>
      </c>
      <c r="J63" s="50">
        <v>7</v>
      </c>
      <c r="K63" s="51">
        <v>20</v>
      </c>
      <c r="L63" s="52">
        <v>20</v>
      </c>
      <c r="M63" s="50">
        <v>25</v>
      </c>
      <c r="N63" s="50">
        <v>40</v>
      </c>
      <c r="O63" s="53">
        <v>65</v>
      </c>
      <c r="P63" s="54">
        <v>65</v>
      </c>
      <c r="Q63" s="55">
        <v>100</v>
      </c>
      <c r="R63" s="55" t="s">
        <v>151</v>
      </c>
      <c r="S63" s="54" t="s">
        <v>152</v>
      </c>
      <c r="T63" s="54" t="s">
        <v>153</v>
      </c>
    </row>
    <row r="64" spans="1:20" x14ac:dyDescent="0.25">
      <c r="A64" s="1" t="s">
        <v>57</v>
      </c>
      <c r="B64" s="29" t="s">
        <v>58</v>
      </c>
      <c r="C64" s="28">
        <v>8.3333333333333339</v>
      </c>
      <c r="D64" s="28">
        <v>4</v>
      </c>
      <c r="E64" s="28">
        <v>1</v>
      </c>
      <c r="F64" s="28">
        <f>(((SUM(Second_Semester_English_II[[#This Row],[Quiz 1]:[Quiz 3]]))/SUM($C$63:$E$63))*$F$63)</f>
        <v>4.4444444444444446</v>
      </c>
      <c r="G64" s="27">
        <f>ROUND(Second_Semester_English_II[[#This Row],[Quiz Average]],0)</f>
        <v>4</v>
      </c>
      <c r="H64" s="31">
        <v>2</v>
      </c>
      <c r="I64" s="31">
        <v>8</v>
      </c>
      <c r="J64" s="31">
        <v>6</v>
      </c>
      <c r="K64" s="20">
        <f>SUM(Second_Semester_English_II[[#This Row],[Assignment]:[Attendance]])</f>
        <v>16</v>
      </c>
      <c r="L64" s="27">
        <f>ROUND(Second_Semester_English_II[[#This Row],[Total out of APA]],0)</f>
        <v>16</v>
      </c>
      <c r="M64" s="28">
        <v>21.5</v>
      </c>
      <c r="N64" s="28">
        <v>10</v>
      </c>
      <c r="O64" s="28">
        <f>SUM(Second_Semester_English_II[[#This Row],[Midterm]:[Final]])</f>
        <v>31.5</v>
      </c>
      <c r="P64" s="42">
        <f>ROUND(Second_Semester_English_II[[#This Row],[Mid &amp; Final]],0)</f>
        <v>32</v>
      </c>
      <c r="Q64" s="42">
        <f>SUM(G64,L64,P64)</f>
        <v>52</v>
      </c>
      <c r="R64" s="46" t="str">
        <f>IF(Q64&gt;79,"A+",IF(Q64&gt;74,"A",IF(Q64&gt;69,"A-",IF(Q64&gt;64,"B+",IF(Q64&gt;59,"B",IF(Q64&gt;54,"B-",IF(Q64&gt;49,"C+",IF(Q64&gt;44,"C",IF(Q64&gt;39,"D",IF(Q64&gt;0,"F","N/A"))))))))))</f>
        <v>C+</v>
      </c>
      <c r="S64" s="44" t="str">
        <f>IF(Q64&gt;79,"4.00",IF(Q64&gt;74,"3.75",IF(Q64&gt;69,"3.50",IF(Q64&gt;64,"3.25",IF(Q64&gt;59,"3.00",IF(Q64&gt;54,"2.75",IF(Q64&gt;49,"2.50",IF(Q64&gt;44,"2.25",IF(Q64&gt;39,"2.00",IF(Q64&gt;0,"0.00","N/A"))))))))))</f>
        <v>2.50</v>
      </c>
      <c r="T64" s="34" t="str">
        <f>IF(Q64&gt;79,"Outstanding",IF(Q64&gt;74,"Excellent",IF(Q64&gt;69,"Very Good",IF(Q64&gt;64,"Good",IF(Q64&gt;59,"Satisfactory",IF(Q64&gt;54,"Above Average",IF(Q64&gt;49,"Average",IF(Q64&gt;44,"Bellow Average",IF(Q64&gt;39,"Pass",IF(Q64&gt;0,"Fail","N/A"))))))))))</f>
        <v>Average</v>
      </c>
    </row>
    <row r="65" spans="1:22" x14ac:dyDescent="0.25">
      <c r="A65" s="1" t="s">
        <v>56</v>
      </c>
      <c r="B65" s="29" t="s">
        <v>59</v>
      </c>
      <c r="C65" s="28">
        <v>3.6666666666666665</v>
      </c>
      <c r="D65" s="28">
        <v>2.6666666666666665</v>
      </c>
      <c r="E65" s="28">
        <v>6.666666666666667</v>
      </c>
      <c r="F65" s="28">
        <f>(((SUM(Second_Semester_English_II[[#This Row],[Quiz 1]:[Quiz 3]]))/SUM($C$63:$E$63))*$F$63)</f>
        <v>4.333333333333333</v>
      </c>
      <c r="G65" s="27">
        <f>ROUND(Second_Semester_English_II[[#This Row],[Quiz Average]],0)</f>
        <v>4</v>
      </c>
      <c r="H65" s="31">
        <v>2</v>
      </c>
      <c r="I65" s="31">
        <v>8</v>
      </c>
      <c r="J65" s="31">
        <v>2</v>
      </c>
      <c r="K65" s="20">
        <f>SUM(Second_Semester_English_II[[#This Row],[Assignment]:[Attendance]])</f>
        <v>12</v>
      </c>
      <c r="L65" s="27">
        <f>ROUND(Second_Semester_English_II[[#This Row],[Total out of APA]],0)</f>
        <v>12</v>
      </c>
      <c r="M65" s="28">
        <v>19.5</v>
      </c>
      <c r="N65" s="28">
        <v>4</v>
      </c>
      <c r="O65" s="28">
        <f>SUM(Second_Semester_English_II[[#This Row],[Midterm]:[Final]])</f>
        <v>23.5</v>
      </c>
      <c r="P65" s="42">
        <f>ROUND(Second_Semester_English_II[[#This Row],[Mid &amp; Final]],0)</f>
        <v>24</v>
      </c>
      <c r="Q65" s="42">
        <f t="shared" ref="Q65:Q91" si="8">SUM(G65,L65,P65)</f>
        <v>40</v>
      </c>
      <c r="R65" s="46" t="str">
        <f t="shared" ref="R65:R91" si="9">IF(Q65&gt;79,"A+",IF(Q65&gt;74,"A",IF(Q65&gt;69,"A-",IF(Q65&gt;64,"B+",IF(Q65&gt;59,"B",IF(Q65&gt;54,"B-",IF(Q65&gt;49,"C+",IF(Q65&gt;44,"C",IF(Q65&gt;39,"D",IF(Q65&gt;0,"F","N/A"))))))))))</f>
        <v>D</v>
      </c>
      <c r="S65" s="44" t="str">
        <f t="shared" ref="S65:S91" si="10">IF(Q65&gt;79,"4.00",IF(Q65&gt;74,"3.75",IF(Q65&gt;69,"3.50",IF(Q65&gt;64,"3.25",IF(Q65&gt;59,"3.00",IF(Q65&gt;54,"2.75",IF(Q65&gt;49,"2.50",IF(Q65&gt;44,"2.25",IF(Q65&gt;39,"2.00",IF(Q65&gt;0,"0.00","N/A"))))))))))</f>
        <v>2.00</v>
      </c>
      <c r="T65" s="34" t="str">
        <f t="shared" ref="T65:T91" si="11">IF(Q65&gt;79,"Outstanding",IF(Q65&gt;74,"Excellent",IF(Q65&gt;69,"Very Good",IF(Q65&gt;64,"Good",IF(Q65&gt;59,"Satisfactory",IF(Q65&gt;54,"Above Average",IF(Q65&gt;49,"Average",IF(Q65&gt;44,"Bellow Average",IF(Q65&gt;39,"Pass",IF(Q65&gt;0,"Fail","N/A"))))))))))</f>
        <v>Pass</v>
      </c>
    </row>
    <row r="66" spans="1:22" x14ac:dyDescent="0.25">
      <c r="A66" s="1" t="s">
        <v>1</v>
      </c>
      <c r="B66" s="29" t="s">
        <v>27</v>
      </c>
      <c r="C66" s="28">
        <v>1.3333333333333333</v>
      </c>
      <c r="D66" s="28">
        <v>12.333333333333334</v>
      </c>
      <c r="E66" s="28">
        <v>8</v>
      </c>
      <c r="F66" s="28">
        <f>(((SUM(Second_Semester_English_II[[#This Row],[Quiz 1]:[Quiz 3]]))/SUM($C$63:$E$63))*$F$63)</f>
        <v>7.2222222222222223</v>
      </c>
      <c r="G66" s="27">
        <f>ROUND(Second_Semester_English_II[[#This Row],[Quiz Average]],0)</f>
        <v>7</v>
      </c>
      <c r="H66" s="31">
        <v>2</v>
      </c>
      <c r="I66" s="31">
        <v>8</v>
      </c>
      <c r="J66" s="31">
        <v>3</v>
      </c>
      <c r="K66" s="20">
        <f>SUM(Second_Semester_English_II[[#This Row],[Assignment]:[Attendance]])</f>
        <v>13</v>
      </c>
      <c r="L66" s="27">
        <f>ROUND(Second_Semester_English_II[[#This Row],[Total out of APA]],0)</f>
        <v>13</v>
      </c>
      <c r="M66" s="28">
        <v>9.5</v>
      </c>
      <c r="N66" s="28">
        <v>12</v>
      </c>
      <c r="O66" s="28">
        <f>SUM(Second_Semester_English_II[[#This Row],[Midterm]:[Final]])</f>
        <v>21.5</v>
      </c>
      <c r="P66" s="42">
        <f>ROUND(Second_Semester_English_II[[#This Row],[Mid &amp; Final]],0)</f>
        <v>22</v>
      </c>
      <c r="Q66" s="42">
        <f t="shared" si="8"/>
        <v>42</v>
      </c>
      <c r="R66" s="46" t="str">
        <f t="shared" si="9"/>
        <v>D</v>
      </c>
      <c r="S66" s="44" t="str">
        <f t="shared" si="10"/>
        <v>2.00</v>
      </c>
      <c r="T66" s="34" t="str">
        <f t="shared" si="11"/>
        <v>Pass</v>
      </c>
    </row>
    <row r="67" spans="1:22" x14ac:dyDescent="0.25">
      <c r="A67" s="1" t="s">
        <v>2</v>
      </c>
      <c r="B67" s="29" t="s">
        <v>28</v>
      </c>
      <c r="C67" s="28">
        <v>5</v>
      </c>
      <c r="D67" s="28">
        <v>7</v>
      </c>
      <c r="E67" s="28">
        <v>5.333333333333333</v>
      </c>
      <c r="F67" s="28">
        <f>(((SUM(Second_Semester_English_II[[#This Row],[Quiz 1]:[Quiz 3]]))/SUM($C$63:$E$63))*$F$63)</f>
        <v>5.7777777777777777</v>
      </c>
      <c r="G67" s="27">
        <f>ROUND(Second_Semester_English_II[[#This Row],[Quiz Average]],0)</f>
        <v>6</v>
      </c>
      <c r="H67" s="31">
        <v>5</v>
      </c>
      <c r="I67" s="31">
        <v>2</v>
      </c>
      <c r="J67" s="31">
        <v>4</v>
      </c>
      <c r="K67" s="20">
        <f>SUM(Second_Semester_English_II[[#This Row],[Assignment]:[Attendance]])</f>
        <v>11</v>
      </c>
      <c r="L67" s="27">
        <f>ROUND(Second_Semester_English_II[[#This Row],[Total out of APA]],0)</f>
        <v>11</v>
      </c>
      <c r="M67" s="28">
        <v>8</v>
      </c>
      <c r="N67" s="28">
        <v>14</v>
      </c>
      <c r="O67" s="28">
        <f>SUM(Second_Semester_English_II[[#This Row],[Midterm]:[Final]])</f>
        <v>22</v>
      </c>
      <c r="P67" s="42">
        <f>ROUND(Second_Semester_English_II[[#This Row],[Mid &amp; Final]],0)</f>
        <v>22</v>
      </c>
      <c r="Q67" s="42">
        <f t="shared" si="8"/>
        <v>39</v>
      </c>
      <c r="R67" s="46" t="str">
        <f t="shared" si="9"/>
        <v>F</v>
      </c>
      <c r="S67" s="44" t="str">
        <f t="shared" si="10"/>
        <v>0.00</v>
      </c>
      <c r="T67" s="34" t="str">
        <f t="shared" si="11"/>
        <v>Fail</v>
      </c>
    </row>
    <row r="68" spans="1:22" x14ac:dyDescent="0.25">
      <c r="A68" s="1" t="s">
        <v>3</v>
      </c>
      <c r="B68" s="29" t="s">
        <v>29</v>
      </c>
      <c r="C68" s="28">
        <v>5.666666666666667</v>
      </c>
      <c r="D68" s="28">
        <v>1.6666666666666667</v>
      </c>
      <c r="E68" s="28">
        <v>10</v>
      </c>
      <c r="F68" s="28">
        <f>(((SUM(Second_Semester_English_II[[#This Row],[Quiz 1]:[Quiz 3]]))/SUM($C$63:$E$63))*$F$63)</f>
        <v>5.7777777777777786</v>
      </c>
      <c r="G68" s="27">
        <f>ROUND(Second_Semester_English_II[[#This Row],[Quiz Average]],0)</f>
        <v>6</v>
      </c>
      <c r="H68" s="31">
        <v>2</v>
      </c>
      <c r="I68" s="31">
        <v>6</v>
      </c>
      <c r="J68" s="31">
        <v>5</v>
      </c>
      <c r="K68" s="20">
        <f>SUM(Second_Semester_English_II[[#This Row],[Assignment]:[Attendance]])</f>
        <v>13</v>
      </c>
      <c r="L68" s="27">
        <f>ROUND(Second_Semester_English_II[[#This Row],[Total out of APA]],0)</f>
        <v>13</v>
      </c>
      <c r="M68" s="28">
        <v>13</v>
      </c>
      <c r="N68" s="28">
        <v>5.5</v>
      </c>
      <c r="O68" s="28">
        <f>SUM(Second_Semester_English_II[[#This Row],[Midterm]:[Final]])</f>
        <v>18.5</v>
      </c>
      <c r="P68" s="42">
        <f>ROUND(Second_Semester_English_II[[#This Row],[Mid &amp; Final]],0)</f>
        <v>19</v>
      </c>
      <c r="Q68" s="42">
        <f t="shared" si="8"/>
        <v>38</v>
      </c>
      <c r="R68" s="46" t="str">
        <f t="shared" si="9"/>
        <v>F</v>
      </c>
      <c r="S68" s="44" t="str">
        <f t="shared" si="10"/>
        <v>0.00</v>
      </c>
      <c r="T68" s="34" t="str">
        <f t="shared" si="11"/>
        <v>Fail</v>
      </c>
    </row>
    <row r="69" spans="1:22" x14ac:dyDescent="0.25">
      <c r="A69" s="1" t="s">
        <v>4</v>
      </c>
      <c r="B69" s="29" t="s">
        <v>30</v>
      </c>
      <c r="C69" s="28">
        <v>10.333333333333334</v>
      </c>
      <c r="D69" s="28">
        <v>6</v>
      </c>
      <c r="E69" s="28">
        <v>7.333333333333333</v>
      </c>
      <c r="F69" s="28">
        <f>(((SUM(Second_Semester_English_II[[#This Row],[Quiz 1]:[Quiz 3]]))/SUM($C$63:$E$63))*$F$63)</f>
        <v>7.8888888888888884</v>
      </c>
      <c r="G69" s="27">
        <f>ROUND(Second_Semester_English_II[[#This Row],[Quiz Average]],0)</f>
        <v>8</v>
      </c>
      <c r="H69" s="31">
        <v>4</v>
      </c>
      <c r="I69" s="31">
        <v>2</v>
      </c>
      <c r="J69" s="31">
        <v>6</v>
      </c>
      <c r="K69" s="20">
        <f>SUM(Second_Semester_English_II[[#This Row],[Assignment]:[Attendance]])</f>
        <v>12</v>
      </c>
      <c r="L69" s="27">
        <f>ROUND(Second_Semester_English_II[[#This Row],[Total out of APA]],0)</f>
        <v>12</v>
      </c>
      <c r="M69" s="28">
        <v>18</v>
      </c>
      <c r="N69" s="28">
        <v>11</v>
      </c>
      <c r="O69" s="28">
        <f>SUM(Second_Semester_English_II[[#This Row],[Midterm]:[Final]])</f>
        <v>29</v>
      </c>
      <c r="P69" s="42">
        <f>ROUND(Second_Semester_English_II[[#This Row],[Mid &amp; Final]],0)</f>
        <v>29</v>
      </c>
      <c r="Q69" s="42">
        <f t="shared" si="8"/>
        <v>49</v>
      </c>
      <c r="R69" s="46" t="str">
        <f t="shared" si="9"/>
        <v>C</v>
      </c>
      <c r="S69" s="44" t="str">
        <f t="shared" si="10"/>
        <v>2.25</v>
      </c>
      <c r="T69" s="34" t="str">
        <f t="shared" si="11"/>
        <v>Bellow Average</v>
      </c>
    </row>
    <row r="70" spans="1:22" s="21" customFormat="1" x14ac:dyDescent="0.25">
      <c r="A70" s="6" t="s">
        <v>5</v>
      </c>
      <c r="B70" s="225" t="s">
        <v>31</v>
      </c>
      <c r="C70" s="221"/>
      <c r="D70" s="221"/>
      <c r="E70" s="221"/>
      <c r="F70" s="221"/>
      <c r="G70" s="226"/>
      <c r="H70" s="220"/>
      <c r="I70" s="220"/>
      <c r="J70" s="220"/>
      <c r="K70" s="4"/>
      <c r="L70" s="226"/>
      <c r="M70" s="221"/>
      <c r="N70" s="221"/>
      <c r="O70" s="221"/>
      <c r="P70" s="222"/>
      <c r="Q70" s="222"/>
      <c r="R70" s="223"/>
      <c r="S70" s="224"/>
      <c r="T70" s="219"/>
    </row>
    <row r="71" spans="1:22" s="21" customFormat="1" x14ac:dyDescent="0.25">
      <c r="A71" s="1" t="s">
        <v>6</v>
      </c>
      <c r="B71" s="29" t="s">
        <v>32</v>
      </c>
      <c r="C71" s="28">
        <v>1.3333333333333333</v>
      </c>
      <c r="D71" s="28">
        <v>12.333333333333334</v>
      </c>
      <c r="E71" s="28">
        <v>11.333333333333334</v>
      </c>
      <c r="F71" s="28">
        <f>(((SUM(Second_Semester_English_II[[#This Row],[Quiz 1]:[Quiz 3]]))/SUM($C$63:$E$63))*$F$63)</f>
        <v>8.3333333333333339</v>
      </c>
      <c r="G71" s="27">
        <f>ROUND(Second_Semester_English_II[[#This Row],[Quiz Average]],0)</f>
        <v>8</v>
      </c>
      <c r="H71" s="31">
        <v>4</v>
      </c>
      <c r="I71" s="31">
        <v>4</v>
      </c>
      <c r="J71" s="31">
        <v>4</v>
      </c>
      <c r="K71" s="20">
        <f>SUM(Second_Semester_English_II[[#This Row],[Assignment]:[Attendance]])</f>
        <v>12</v>
      </c>
      <c r="L71" s="27">
        <f>ROUND(Second_Semester_English_II[[#This Row],[Total out of APA]],0)</f>
        <v>12</v>
      </c>
      <c r="M71" s="28">
        <v>5.5</v>
      </c>
      <c r="N71" s="28">
        <v>8</v>
      </c>
      <c r="O71" s="28">
        <f>SUM(Second_Semester_English_II[[#This Row],[Midterm]:[Final]])</f>
        <v>13.5</v>
      </c>
      <c r="P71" s="42">
        <f>ROUND(Second_Semester_English_II[[#This Row],[Mid &amp; Final]],0)</f>
        <v>14</v>
      </c>
      <c r="Q71" s="42">
        <f t="shared" si="8"/>
        <v>34</v>
      </c>
      <c r="R71" s="46" t="str">
        <f t="shared" si="9"/>
        <v>F</v>
      </c>
      <c r="S71" s="44" t="str">
        <f t="shared" si="10"/>
        <v>0.00</v>
      </c>
      <c r="T71" s="34" t="str">
        <f t="shared" si="11"/>
        <v>Fail</v>
      </c>
    </row>
    <row r="72" spans="1:22" s="21" customFormat="1" x14ac:dyDescent="0.25">
      <c r="A72" s="1" t="s">
        <v>7</v>
      </c>
      <c r="B72" s="29" t="s">
        <v>33</v>
      </c>
      <c r="C72" s="28">
        <v>9</v>
      </c>
      <c r="D72" s="28">
        <v>6.333333333333333</v>
      </c>
      <c r="E72" s="28">
        <v>14</v>
      </c>
      <c r="F72" s="28">
        <f>(((SUM(Second_Semester_English_II[[#This Row],[Quiz 1]:[Quiz 3]]))/SUM($C$63:$E$63))*$F$63)</f>
        <v>9.7777777777777768</v>
      </c>
      <c r="G72" s="27">
        <f>ROUND(Second_Semester_English_II[[#This Row],[Quiz Average]],0)</f>
        <v>10</v>
      </c>
      <c r="H72" s="31">
        <v>2</v>
      </c>
      <c r="I72" s="31">
        <v>5</v>
      </c>
      <c r="J72" s="31">
        <v>6</v>
      </c>
      <c r="K72" s="20">
        <f>SUM(Second_Semester_English_II[[#This Row],[Assignment]:[Attendance]])</f>
        <v>13</v>
      </c>
      <c r="L72" s="27">
        <f>ROUND(Second_Semester_English_II[[#This Row],[Total out of APA]],0)</f>
        <v>13</v>
      </c>
      <c r="M72" s="28">
        <v>9</v>
      </c>
      <c r="N72" s="28">
        <v>2.5</v>
      </c>
      <c r="O72" s="28">
        <f>SUM(Second_Semester_English_II[[#This Row],[Midterm]:[Final]])</f>
        <v>11.5</v>
      </c>
      <c r="P72" s="42">
        <f>ROUND(Second_Semester_English_II[[#This Row],[Mid &amp; Final]],0)</f>
        <v>12</v>
      </c>
      <c r="Q72" s="42">
        <f t="shared" si="8"/>
        <v>35</v>
      </c>
      <c r="R72" s="46" t="str">
        <f t="shared" si="9"/>
        <v>F</v>
      </c>
      <c r="S72" s="44" t="str">
        <f t="shared" si="10"/>
        <v>0.00</v>
      </c>
      <c r="T72" s="34" t="str">
        <f t="shared" si="11"/>
        <v>Fail</v>
      </c>
    </row>
    <row r="73" spans="1:22" s="21" customFormat="1" x14ac:dyDescent="0.25">
      <c r="A73" s="1" t="s">
        <v>8</v>
      </c>
      <c r="B73" s="29" t="s">
        <v>34</v>
      </c>
      <c r="C73" s="28">
        <v>6</v>
      </c>
      <c r="D73" s="28">
        <v>7</v>
      </c>
      <c r="E73" s="28">
        <v>12</v>
      </c>
      <c r="F73" s="28">
        <f>(((SUM(Second_Semester_English_II[[#This Row],[Quiz 1]:[Quiz 3]]))/SUM($C$63:$E$63))*$F$63)</f>
        <v>8.3333333333333339</v>
      </c>
      <c r="G73" s="27">
        <f>ROUND(Second_Semester_English_II[[#This Row],[Quiz Average]],0)</f>
        <v>8</v>
      </c>
      <c r="H73" s="31">
        <v>2</v>
      </c>
      <c r="I73" s="31">
        <v>3</v>
      </c>
      <c r="J73" s="31">
        <v>6</v>
      </c>
      <c r="K73" s="20">
        <f>SUM(Second_Semester_English_II[[#This Row],[Assignment]:[Attendance]])</f>
        <v>11</v>
      </c>
      <c r="L73" s="27">
        <f>ROUND(Second_Semester_English_II[[#This Row],[Total out of APA]],0)</f>
        <v>11</v>
      </c>
      <c r="M73" s="28">
        <v>20.5</v>
      </c>
      <c r="N73" s="28">
        <v>17</v>
      </c>
      <c r="O73" s="28">
        <f>SUM(Second_Semester_English_II[[#This Row],[Midterm]:[Final]])</f>
        <v>37.5</v>
      </c>
      <c r="P73" s="42">
        <f>ROUND(Second_Semester_English_II[[#This Row],[Mid &amp; Final]],0)</f>
        <v>38</v>
      </c>
      <c r="Q73" s="42">
        <f t="shared" si="8"/>
        <v>57</v>
      </c>
      <c r="R73" s="46" t="str">
        <f t="shared" si="9"/>
        <v>B-</v>
      </c>
      <c r="S73" s="44" t="str">
        <f t="shared" si="10"/>
        <v>2.75</v>
      </c>
      <c r="T73" s="34" t="str">
        <f t="shared" si="11"/>
        <v>Above Average</v>
      </c>
    </row>
    <row r="74" spans="1:22" s="21" customFormat="1" x14ac:dyDescent="0.25">
      <c r="A74" s="1" t="s">
        <v>9</v>
      </c>
      <c r="B74" s="29" t="s">
        <v>35</v>
      </c>
      <c r="C74" s="28">
        <v>4</v>
      </c>
      <c r="D74" s="28">
        <v>10</v>
      </c>
      <c r="E74" s="28">
        <v>3.3333333333333335</v>
      </c>
      <c r="F74" s="28">
        <f>(((SUM(Second_Semester_English_II[[#This Row],[Quiz 1]:[Quiz 3]]))/SUM($C$63:$E$63))*$F$63)</f>
        <v>5.7777777777777777</v>
      </c>
      <c r="G74" s="27">
        <f>ROUND(Second_Semester_English_II[[#This Row],[Quiz Average]],0)</f>
        <v>6</v>
      </c>
      <c r="H74" s="31">
        <v>2</v>
      </c>
      <c r="I74" s="31">
        <v>8</v>
      </c>
      <c r="J74" s="31">
        <v>2</v>
      </c>
      <c r="K74" s="20">
        <f>SUM(Second_Semester_English_II[[#This Row],[Assignment]:[Attendance]])</f>
        <v>12</v>
      </c>
      <c r="L74" s="27">
        <f>ROUND(Second_Semester_English_II[[#This Row],[Total out of APA]],0)</f>
        <v>12</v>
      </c>
      <c r="M74" s="28">
        <v>9.5</v>
      </c>
      <c r="N74" s="28">
        <v>22</v>
      </c>
      <c r="O74" s="28">
        <f>SUM(Second_Semester_English_II[[#This Row],[Midterm]:[Final]])</f>
        <v>31.5</v>
      </c>
      <c r="P74" s="42">
        <f>ROUND(Second_Semester_English_II[[#This Row],[Mid &amp; Final]],0)</f>
        <v>32</v>
      </c>
      <c r="Q74" s="42">
        <f t="shared" si="8"/>
        <v>50</v>
      </c>
      <c r="R74" s="46" t="str">
        <f t="shared" si="9"/>
        <v>C+</v>
      </c>
      <c r="S74" s="44" t="str">
        <f t="shared" si="10"/>
        <v>2.50</v>
      </c>
      <c r="T74" s="34" t="str">
        <f t="shared" si="11"/>
        <v>Average</v>
      </c>
    </row>
    <row r="75" spans="1:22" s="21" customFormat="1" x14ac:dyDescent="0.25">
      <c r="A75" s="1" t="s">
        <v>10</v>
      </c>
      <c r="B75" s="29" t="s">
        <v>36</v>
      </c>
      <c r="C75" s="28">
        <v>2.6666666666666665</v>
      </c>
      <c r="D75" s="28">
        <v>5.666666666666667</v>
      </c>
      <c r="E75" s="28">
        <v>9</v>
      </c>
      <c r="F75" s="28">
        <f>(((SUM(Second_Semester_English_II[[#This Row],[Quiz 1]:[Quiz 3]]))/SUM($C$63:$E$63))*$F$63)</f>
        <v>5.7777777777777786</v>
      </c>
      <c r="G75" s="27">
        <f>ROUND(Second_Semester_English_II[[#This Row],[Quiz Average]],0)</f>
        <v>6</v>
      </c>
      <c r="H75" s="31">
        <v>2</v>
      </c>
      <c r="I75" s="31">
        <v>5</v>
      </c>
      <c r="J75" s="31">
        <v>7</v>
      </c>
      <c r="K75" s="20">
        <f>SUM(Second_Semester_English_II[[#This Row],[Assignment]:[Attendance]])</f>
        <v>14</v>
      </c>
      <c r="L75" s="27">
        <f>ROUND(Second_Semester_English_II[[#This Row],[Total out of APA]],0)</f>
        <v>14</v>
      </c>
      <c r="M75" s="28">
        <v>21.5</v>
      </c>
      <c r="N75" s="28">
        <v>29.5</v>
      </c>
      <c r="O75" s="28">
        <f>SUM(Second_Semester_English_II[[#This Row],[Midterm]:[Final]])</f>
        <v>51</v>
      </c>
      <c r="P75" s="42">
        <f>ROUND(Second_Semester_English_II[[#This Row],[Mid &amp; Final]],0)</f>
        <v>51</v>
      </c>
      <c r="Q75" s="42">
        <f t="shared" si="8"/>
        <v>71</v>
      </c>
      <c r="R75" s="46" t="str">
        <f t="shared" si="9"/>
        <v>A-</v>
      </c>
      <c r="S75" s="44" t="str">
        <f t="shared" si="10"/>
        <v>3.50</v>
      </c>
      <c r="T75" s="34" t="str">
        <f t="shared" si="11"/>
        <v>Very Good</v>
      </c>
    </row>
    <row r="76" spans="1:22" s="21" customFormat="1" x14ac:dyDescent="0.25">
      <c r="A76" s="6" t="s">
        <v>11</v>
      </c>
      <c r="B76" s="225" t="s">
        <v>31</v>
      </c>
      <c r="C76" s="221"/>
      <c r="D76" s="221"/>
      <c r="E76" s="221"/>
      <c r="F76" s="221"/>
      <c r="G76" s="226"/>
      <c r="H76" s="220"/>
      <c r="I76" s="220"/>
      <c r="J76" s="220"/>
      <c r="K76" s="4"/>
      <c r="L76" s="226"/>
      <c r="M76" s="221"/>
      <c r="N76" s="221"/>
      <c r="O76" s="221"/>
      <c r="P76" s="222"/>
      <c r="Q76" s="222"/>
      <c r="R76" s="223"/>
      <c r="S76" s="224"/>
      <c r="T76" s="219"/>
    </row>
    <row r="77" spans="1:22" s="21" customFormat="1" x14ac:dyDescent="0.25">
      <c r="A77" s="1" t="s">
        <v>12</v>
      </c>
      <c r="B77" s="29" t="s">
        <v>37</v>
      </c>
      <c r="C77" s="28">
        <v>14.333333333333334</v>
      </c>
      <c r="D77" s="28">
        <v>14.333333333333334</v>
      </c>
      <c r="E77" s="28">
        <v>7</v>
      </c>
      <c r="F77" s="28">
        <f>(((SUM(Second_Semester_English_II[[#This Row],[Quiz 1]:[Quiz 3]]))/SUM($C$63:$E$63))*$F$63)</f>
        <v>11.888888888888891</v>
      </c>
      <c r="G77" s="27">
        <f>ROUND(Second_Semester_English_II[[#This Row],[Quiz Average]],0)</f>
        <v>12</v>
      </c>
      <c r="H77" s="31">
        <v>5</v>
      </c>
      <c r="I77" s="31">
        <v>6</v>
      </c>
      <c r="J77" s="31">
        <v>3</v>
      </c>
      <c r="K77" s="20">
        <f>SUM(Second_Semester_English_II[[#This Row],[Assignment]:[Attendance]])</f>
        <v>14</v>
      </c>
      <c r="L77" s="27">
        <f>ROUND(Second_Semester_English_II[[#This Row],[Total out of APA]],0)</f>
        <v>14</v>
      </c>
      <c r="M77" s="28">
        <v>20</v>
      </c>
      <c r="N77" s="28">
        <v>20.5</v>
      </c>
      <c r="O77" s="28">
        <f>SUM(Second_Semester_English_II[[#This Row],[Midterm]:[Final]])</f>
        <v>40.5</v>
      </c>
      <c r="P77" s="42">
        <f>ROUND(Second_Semester_English_II[[#This Row],[Mid &amp; Final]],0)</f>
        <v>41</v>
      </c>
      <c r="Q77" s="42">
        <f t="shared" si="8"/>
        <v>67</v>
      </c>
      <c r="R77" s="46" t="str">
        <f t="shared" si="9"/>
        <v>B+</v>
      </c>
      <c r="S77" s="44" t="str">
        <f t="shared" si="10"/>
        <v>3.25</v>
      </c>
      <c r="T77" s="34" t="str">
        <f t="shared" si="11"/>
        <v>Good</v>
      </c>
    </row>
    <row r="78" spans="1:22" s="21" customFormat="1" x14ac:dyDescent="0.25">
      <c r="A78" s="1" t="s">
        <v>13</v>
      </c>
      <c r="B78" s="29" t="s">
        <v>38</v>
      </c>
      <c r="C78" s="28">
        <v>11.666666666666666</v>
      </c>
      <c r="D78" s="28">
        <v>5</v>
      </c>
      <c r="E78" s="28">
        <v>1.6666666666666667</v>
      </c>
      <c r="F78" s="28">
        <f>(((SUM(Second_Semester_English_II[[#This Row],[Quiz 1]:[Quiz 3]]))/SUM($C$63:$E$63))*$F$63)</f>
        <v>6.1111111111111107</v>
      </c>
      <c r="G78" s="27">
        <f>ROUND(Second_Semester_English_II[[#This Row],[Quiz Average]],0)</f>
        <v>6</v>
      </c>
      <c r="H78" s="31">
        <v>2</v>
      </c>
      <c r="I78" s="31">
        <v>7</v>
      </c>
      <c r="J78" s="31">
        <v>7</v>
      </c>
      <c r="K78" s="20">
        <f>SUM(Second_Semester_English_II[[#This Row],[Assignment]:[Attendance]])</f>
        <v>16</v>
      </c>
      <c r="L78" s="27">
        <f>ROUND(Second_Semester_English_II[[#This Row],[Total out of APA]],0)</f>
        <v>16</v>
      </c>
      <c r="M78" s="28">
        <v>19.5</v>
      </c>
      <c r="N78" s="28">
        <v>1.5</v>
      </c>
      <c r="O78" s="28">
        <f>SUM(Second_Semester_English_II[[#This Row],[Midterm]:[Final]])</f>
        <v>21</v>
      </c>
      <c r="P78" s="42">
        <f>ROUND(Second_Semester_English_II[[#This Row],[Mid &amp; Final]],0)</f>
        <v>21</v>
      </c>
      <c r="Q78" s="42">
        <f t="shared" si="8"/>
        <v>43</v>
      </c>
      <c r="R78" s="46" t="str">
        <f t="shared" si="9"/>
        <v>D</v>
      </c>
      <c r="S78" s="44" t="str">
        <f t="shared" si="10"/>
        <v>2.00</v>
      </c>
      <c r="T78" s="34" t="str">
        <f t="shared" si="11"/>
        <v>Pass</v>
      </c>
      <c r="V78" s="110"/>
    </row>
    <row r="79" spans="1:22" s="21" customFormat="1" x14ac:dyDescent="0.25">
      <c r="A79" s="1" t="s">
        <v>14</v>
      </c>
      <c r="B79" s="29" t="s">
        <v>39</v>
      </c>
      <c r="C79" s="28">
        <v>7.333333333333333</v>
      </c>
      <c r="D79" s="28">
        <v>9</v>
      </c>
      <c r="E79" s="28">
        <v>8</v>
      </c>
      <c r="F79" s="28">
        <f>(((SUM(Second_Semester_English_II[[#This Row],[Quiz 1]:[Quiz 3]]))/SUM($C$63:$E$63))*$F$63)</f>
        <v>8.1111111111111107</v>
      </c>
      <c r="G79" s="27">
        <f>ROUND(Second_Semester_English_II[[#This Row],[Quiz Average]],0)</f>
        <v>8</v>
      </c>
      <c r="H79" s="31">
        <v>3</v>
      </c>
      <c r="I79" s="31">
        <v>4</v>
      </c>
      <c r="J79" s="31">
        <v>7</v>
      </c>
      <c r="K79" s="20">
        <f>SUM(Second_Semester_English_II[[#This Row],[Assignment]:[Attendance]])</f>
        <v>14</v>
      </c>
      <c r="L79" s="27">
        <f>ROUND(Second_Semester_English_II[[#This Row],[Total out of APA]],0)</f>
        <v>14</v>
      </c>
      <c r="M79" s="28">
        <v>15.5</v>
      </c>
      <c r="N79" s="28">
        <v>23.5</v>
      </c>
      <c r="O79" s="28">
        <f>SUM(Second_Semester_English_II[[#This Row],[Midterm]:[Final]])</f>
        <v>39</v>
      </c>
      <c r="P79" s="42">
        <f>ROUND(Second_Semester_English_II[[#This Row],[Mid &amp; Final]],0)</f>
        <v>39</v>
      </c>
      <c r="Q79" s="42">
        <f t="shared" si="8"/>
        <v>61</v>
      </c>
      <c r="R79" s="46" t="str">
        <f t="shared" si="9"/>
        <v>B</v>
      </c>
      <c r="S79" s="44" t="str">
        <f t="shared" si="10"/>
        <v>3.00</v>
      </c>
      <c r="T79" s="34" t="str">
        <f t="shared" si="11"/>
        <v>Satisfactory</v>
      </c>
    </row>
    <row r="80" spans="1:22" s="21" customFormat="1" x14ac:dyDescent="0.25">
      <c r="A80" s="1" t="s">
        <v>15</v>
      </c>
      <c r="B80" s="29" t="s">
        <v>40</v>
      </c>
      <c r="C80" s="28">
        <v>10</v>
      </c>
      <c r="D80" s="28">
        <v>10.666666666666666</v>
      </c>
      <c r="E80" s="28">
        <v>12</v>
      </c>
      <c r="F80" s="28">
        <f>(((SUM(Second_Semester_English_II[[#This Row],[Quiz 1]:[Quiz 3]]))/SUM($C$63:$E$63))*$F$63)</f>
        <v>10.888888888888888</v>
      </c>
      <c r="G80" s="27">
        <f>ROUND(Second_Semester_English_II[[#This Row],[Quiz Average]],0)</f>
        <v>11</v>
      </c>
      <c r="H80" s="31">
        <v>4</v>
      </c>
      <c r="I80" s="31">
        <v>7</v>
      </c>
      <c r="J80" s="31">
        <v>6</v>
      </c>
      <c r="K80" s="20">
        <f>SUM(Second_Semester_English_II[[#This Row],[Assignment]:[Attendance]])</f>
        <v>17</v>
      </c>
      <c r="L80" s="27">
        <f>ROUND(Second_Semester_English_II[[#This Row],[Total out of APA]],0)</f>
        <v>17</v>
      </c>
      <c r="M80" s="28">
        <v>4.5</v>
      </c>
      <c r="N80" s="28">
        <v>8.5</v>
      </c>
      <c r="O80" s="28">
        <f>SUM(Second_Semester_English_II[[#This Row],[Midterm]:[Final]])</f>
        <v>13</v>
      </c>
      <c r="P80" s="42">
        <f>ROUND(Second_Semester_English_II[[#This Row],[Mid &amp; Final]],0)</f>
        <v>13</v>
      </c>
      <c r="Q80" s="42">
        <f t="shared" si="8"/>
        <v>41</v>
      </c>
      <c r="R80" s="46" t="str">
        <f t="shared" si="9"/>
        <v>D</v>
      </c>
      <c r="S80" s="44" t="str">
        <f t="shared" si="10"/>
        <v>2.00</v>
      </c>
      <c r="T80" s="34" t="str">
        <f t="shared" si="11"/>
        <v>Pass</v>
      </c>
    </row>
    <row r="81" spans="1:20" s="21" customFormat="1" x14ac:dyDescent="0.25">
      <c r="A81" s="6" t="s">
        <v>16</v>
      </c>
      <c r="B81" s="225" t="s">
        <v>31</v>
      </c>
      <c r="C81" s="221"/>
      <c r="D81" s="221"/>
      <c r="E81" s="221"/>
      <c r="F81" s="221"/>
      <c r="G81" s="226"/>
      <c r="H81" s="220"/>
      <c r="I81" s="220"/>
      <c r="J81" s="220"/>
      <c r="K81" s="4"/>
      <c r="L81" s="226"/>
      <c r="M81" s="221"/>
      <c r="N81" s="221"/>
      <c r="O81" s="221"/>
      <c r="P81" s="222"/>
      <c r="Q81" s="222"/>
      <c r="R81" s="223"/>
      <c r="S81" s="224"/>
      <c r="T81" s="219"/>
    </row>
    <row r="82" spans="1:20" x14ac:dyDescent="0.25">
      <c r="A82" s="1" t="s">
        <v>17</v>
      </c>
      <c r="B82" s="29" t="s">
        <v>41</v>
      </c>
      <c r="C82" s="28">
        <v>2.3333333333333335</v>
      </c>
      <c r="D82" s="28">
        <v>4</v>
      </c>
      <c r="E82" s="28">
        <v>4.333333333333333</v>
      </c>
      <c r="F82" s="28">
        <f>(((SUM(Second_Semester_English_II[[#This Row],[Quiz 1]:[Quiz 3]]))/SUM($C$63:$E$63))*$F$63)</f>
        <v>3.5555555555555562</v>
      </c>
      <c r="G82" s="27">
        <f>ROUND(Second_Semester_English_II[[#This Row],[Quiz Average]],0)</f>
        <v>4</v>
      </c>
      <c r="H82" s="31">
        <v>2</v>
      </c>
      <c r="I82" s="31">
        <v>7</v>
      </c>
      <c r="J82" s="31">
        <v>3</v>
      </c>
      <c r="K82" s="20">
        <f>SUM(Second_Semester_English_II[[#This Row],[Assignment]:[Attendance]])</f>
        <v>12</v>
      </c>
      <c r="L82" s="27">
        <f>ROUND(Second_Semester_English_II[[#This Row],[Total out of APA]],0)</f>
        <v>12</v>
      </c>
      <c r="M82" s="28">
        <v>5</v>
      </c>
      <c r="N82" s="28">
        <v>14</v>
      </c>
      <c r="O82" s="28">
        <f>SUM(Second_Semester_English_II[[#This Row],[Midterm]:[Final]])</f>
        <v>19</v>
      </c>
      <c r="P82" s="42">
        <f>ROUND(Second_Semester_English_II[[#This Row],[Mid &amp; Final]],0)</f>
        <v>19</v>
      </c>
      <c r="Q82" s="42">
        <f t="shared" si="8"/>
        <v>35</v>
      </c>
      <c r="R82" s="46" t="str">
        <f t="shared" si="9"/>
        <v>F</v>
      </c>
      <c r="S82" s="44" t="str">
        <f t="shared" si="10"/>
        <v>0.00</v>
      </c>
      <c r="T82" s="34" t="str">
        <f t="shared" si="11"/>
        <v>Fail</v>
      </c>
    </row>
    <row r="83" spans="1:20" x14ac:dyDescent="0.25">
      <c r="A83" s="1" t="s">
        <v>18</v>
      </c>
      <c r="B83" s="29" t="s">
        <v>42</v>
      </c>
      <c r="C83" s="28">
        <v>3</v>
      </c>
      <c r="D83" s="28">
        <v>13.333333333333334</v>
      </c>
      <c r="E83" s="28">
        <v>10.666666666666666</v>
      </c>
      <c r="F83" s="28">
        <f>(((SUM(Second_Semester_English_II[[#This Row],[Quiz 1]:[Quiz 3]]))/SUM($C$63:$E$63))*$F$63)</f>
        <v>9</v>
      </c>
      <c r="G83" s="27">
        <f>ROUND(Second_Semester_English_II[[#This Row],[Quiz Average]],0)</f>
        <v>9</v>
      </c>
      <c r="H83" s="31">
        <v>4</v>
      </c>
      <c r="I83" s="31">
        <v>3</v>
      </c>
      <c r="J83" s="31">
        <v>7</v>
      </c>
      <c r="K83" s="20">
        <f>SUM(Second_Semester_English_II[[#This Row],[Assignment]:[Attendance]])</f>
        <v>14</v>
      </c>
      <c r="L83" s="27">
        <f>ROUND(Second_Semester_English_II[[#This Row],[Total out of APA]],0)</f>
        <v>14</v>
      </c>
      <c r="M83" s="28">
        <v>13.5</v>
      </c>
      <c r="N83" s="28">
        <v>14</v>
      </c>
      <c r="O83" s="28">
        <f>SUM(Second_Semester_English_II[[#This Row],[Midterm]:[Final]])</f>
        <v>27.5</v>
      </c>
      <c r="P83" s="42">
        <f>ROUND(Second_Semester_English_II[[#This Row],[Mid &amp; Final]],0)</f>
        <v>28</v>
      </c>
      <c r="Q83" s="42">
        <f t="shared" si="8"/>
        <v>51</v>
      </c>
      <c r="R83" s="46" t="str">
        <f t="shared" si="9"/>
        <v>C+</v>
      </c>
      <c r="S83" s="44" t="str">
        <f t="shared" si="10"/>
        <v>2.50</v>
      </c>
      <c r="T83" s="34" t="str">
        <f t="shared" si="11"/>
        <v>Average</v>
      </c>
    </row>
    <row r="84" spans="1:20" x14ac:dyDescent="0.25">
      <c r="A84" s="1" t="s">
        <v>19</v>
      </c>
      <c r="B84" s="29" t="s">
        <v>43</v>
      </c>
      <c r="C84" s="28">
        <v>3.3333333333333335</v>
      </c>
      <c r="D84" s="28">
        <v>13.333333333333334</v>
      </c>
      <c r="E84" s="28">
        <v>14.333333333333334</v>
      </c>
      <c r="F84" s="28">
        <f>(((SUM(Second_Semester_English_II[[#This Row],[Quiz 1]:[Quiz 3]]))/SUM($C$63:$E$63))*$F$63)</f>
        <v>10.333333333333334</v>
      </c>
      <c r="G84" s="27">
        <f>ROUND(Second_Semester_English_II[[#This Row],[Quiz Average]],0)</f>
        <v>10</v>
      </c>
      <c r="H84" s="31">
        <v>3</v>
      </c>
      <c r="I84" s="31">
        <v>2</v>
      </c>
      <c r="J84" s="31">
        <v>4</v>
      </c>
      <c r="K84" s="20">
        <f>SUM(Second_Semester_English_II[[#This Row],[Assignment]:[Attendance]])</f>
        <v>9</v>
      </c>
      <c r="L84" s="27">
        <f>ROUND(Second_Semester_English_II[[#This Row],[Total out of APA]],0)</f>
        <v>9</v>
      </c>
      <c r="M84" s="28">
        <v>10.5</v>
      </c>
      <c r="N84" s="28">
        <v>7.5</v>
      </c>
      <c r="O84" s="28">
        <f>SUM(Second_Semester_English_II[[#This Row],[Midterm]:[Final]])</f>
        <v>18</v>
      </c>
      <c r="P84" s="42">
        <f>ROUND(Second_Semester_English_II[[#This Row],[Mid &amp; Final]],0)</f>
        <v>18</v>
      </c>
      <c r="Q84" s="42">
        <f t="shared" si="8"/>
        <v>37</v>
      </c>
      <c r="R84" s="46" t="str">
        <f t="shared" si="9"/>
        <v>F</v>
      </c>
      <c r="S84" s="44" t="str">
        <f t="shared" si="10"/>
        <v>0.00</v>
      </c>
      <c r="T84" s="34" t="str">
        <f t="shared" si="11"/>
        <v>Fail</v>
      </c>
    </row>
    <row r="85" spans="1:20" x14ac:dyDescent="0.25">
      <c r="A85" s="1" t="s">
        <v>23</v>
      </c>
      <c r="B85" s="29" t="s">
        <v>44</v>
      </c>
      <c r="C85" s="28">
        <v>14.333333333333334</v>
      </c>
      <c r="D85" s="28">
        <v>7.666666666666667</v>
      </c>
      <c r="E85" s="28">
        <v>2.6666666666666665</v>
      </c>
      <c r="F85" s="28">
        <f>(((SUM(Second_Semester_English_II[[#This Row],[Quiz 1]:[Quiz 3]]))/SUM($C$63:$E$63))*$F$63)</f>
        <v>8.2222222222222232</v>
      </c>
      <c r="G85" s="27">
        <f>ROUND(Second_Semester_English_II[[#This Row],[Quiz Average]],0)</f>
        <v>8</v>
      </c>
      <c r="H85" s="31">
        <v>4</v>
      </c>
      <c r="I85" s="31">
        <v>3</v>
      </c>
      <c r="J85" s="31">
        <v>4</v>
      </c>
      <c r="K85" s="20">
        <f>SUM(Second_Semester_English_II[[#This Row],[Assignment]:[Attendance]])</f>
        <v>11</v>
      </c>
      <c r="L85" s="27">
        <f>ROUND(Second_Semester_English_II[[#This Row],[Total out of APA]],0)</f>
        <v>11</v>
      </c>
      <c r="M85" s="28">
        <v>23.5</v>
      </c>
      <c r="N85" s="28">
        <v>34.5</v>
      </c>
      <c r="O85" s="28">
        <f>SUM(Second_Semester_English_II[[#This Row],[Midterm]:[Final]])</f>
        <v>58</v>
      </c>
      <c r="P85" s="42">
        <f>ROUND(Second_Semester_English_II[[#This Row],[Mid &amp; Final]],0)</f>
        <v>58</v>
      </c>
      <c r="Q85" s="42">
        <f t="shared" si="8"/>
        <v>77</v>
      </c>
      <c r="R85" s="46" t="str">
        <f t="shared" si="9"/>
        <v>A</v>
      </c>
      <c r="S85" s="44" t="str">
        <f t="shared" si="10"/>
        <v>3.75</v>
      </c>
      <c r="T85" s="34" t="str">
        <f t="shared" si="11"/>
        <v>Excellent</v>
      </c>
    </row>
    <row r="86" spans="1:20" x14ac:dyDescent="0.25">
      <c r="A86" s="1" t="s">
        <v>24</v>
      </c>
      <c r="B86" s="29" t="s">
        <v>45</v>
      </c>
      <c r="C86" s="28">
        <v>8</v>
      </c>
      <c r="D86" s="28">
        <v>7.333333333333333</v>
      </c>
      <c r="E86" s="28">
        <v>10.333333333333334</v>
      </c>
      <c r="F86" s="28">
        <f>(((SUM(Second_Semester_English_II[[#This Row],[Quiz 1]:[Quiz 3]]))/SUM($C$63:$E$63))*$F$63)</f>
        <v>8.5555555555555554</v>
      </c>
      <c r="G86" s="27">
        <f>ROUND(Second_Semester_English_II[[#This Row],[Quiz Average]],0)</f>
        <v>9</v>
      </c>
      <c r="H86" s="31">
        <v>4</v>
      </c>
      <c r="I86" s="31">
        <v>5</v>
      </c>
      <c r="J86" s="31">
        <v>7</v>
      </c>
      <c r="K86" s="20">
        <f>SUM(Second_Semester_English_II[[#This Row],[Assignment]:[Attendance]])</f>
        <v>16</v>
      </c>
      <c r="L86" s="27">
        <f>ROUND(Second_Semester_English_II[[#This Row],[Total out of APA]],0)</f>
        <v>16</v>
      </c>
      <c r="M86" s="28">
        <v>15.5</v>
      </c>
      <c r="N86" s="28">
        <v>25.5</v>
      </c>
      <c r="O86" s="28">
        <f>SUM(Second_Semester_English_II[[#This Row],[Midterm]:[Final]])</f>
        <v>41</v>
      </c>
      <c r="P86" s="42">
        <f>ROUND(Second_Semester_English_II[[#This Row],[Mid &amp; Final]],0)</f>
        <v>41</v>
      </c>
      <c r="Q86" s="42">
        <f t="shared" si="8"/>
        <v>66</v>
      </c>
      <c r="R86" s="46" t="str">
        <f t="shared" si="9"/>
        <v>B+</v>
      </c>
      <c r="S86" s="44" t="str">
        <f t="shared" si="10"/>
        <v>3.25</v>
      </c>
      <c r="T86" s="34" t="str">
        <f t="shared" si="11"/>
        <v>Good</v>
      </c>
    </row>
    <row r="87" spans="1:20" x14ac:dyDescent="0.25">
      <c r="A87" s="1" t="s">
        <v>25</v>
      </c>
      <c r="B87" s="29" t="s">
        <v>46</v>
      </c>
      <c r="C87" s="28">
        <v>2.3333333333333335</v>
      </c>
      <c r="D87" s="28">
        <v>13.333333333333334</v>
      </c>
      <c r="E87" s="28">
        <v>1.6666666666666667</v>
      </c>
      <c r="F87" s="28">
        <f>(((SUM(Second_Semester_English_II[[#This Row],[Quiz 1]:[Quiz 3]]))/SUM($C$63:$E$63))*$F$63)</f>
        <v>5.7777777777777786</v>
      </c>
      <c r="G87" s="27">
        <f>ROUND(Second_Semester_English_II[[#This Row],[Quiz Average]],0)</f>
        <v>6</v>
      </c>
      <c r="H87" s="31">
        <v>2</v>
      </c>
      <c r="I87" s="31">
        <v>2</v>
      </c>
      <c r="J87" s="31">
        <v>5</v>
      </c>
      <c r="K87" s="20">
        <f>SUM(Second_Semester_English_II[[#This Row],[Assignment]:[Attendance]])</f>
        <v>9</v>
      </c>
      <c r="L87" s="27">
        <f>ROUND(Second_Semester_English_II[[#This Row],[Total out of APA]],0)</f>
        <v>9</v>
      </c>
      <c r="M87" s="28">
        <v>15</v>
      </c>
      <c r="N87" s="28">
        <v>4.5</v>
      </c>
      <c r="O87" s="28">
        <f>SUM(Second_Semester_English_II[[#This Row],[Midterm]:[Final]])</f>
        <v>19.5</v>
      </c>
      <c r="P87" s="42">
        <f>ROUND(Second_Semester_English_II[[#This Row],[Mid &amp; Final]],0)</f>
        <v>20</v>
      </c>
      <c r="Q87" s="42">
        <f t="shared" si="8"/>
        <v>35</v>
      </c>
      <c r="R87" s="46" t="str">
        <f t="shared" si="9"/>
        <v>F</v>
      </c>
      <c r="S87" s="44" t="str">
        <f t="shared" si="10"/>
        <v>0.00</v>
      </c>
      <c r="T87" s="34" t="str">
        <f t="shared" si="11"/>
        <v>Fail</v>
      </c>
    </row>
    <row r="88" spans="1:20" x14ac:dyDescent="0.25">
      <c r="A88" s="1" t="s">
        <v>26</v>
      </c>
      <c r="B88" s="29" t="s">
        <v>47</v>
      </c>
      <c r="C88" s="28">
        <v>7</v>
      </c>
      <c r="D88" s="28">
        <v>4.666666666666667</v>
      </c>
      <c r="E88" s="28">
        <v>14</v>
      </c>
      <c r="F88" s="28">
        <f>(((SUM(Second_Semester_English_II[[#This Row],[Quiz 1]:[Quiz 3]]))/SUM($C$63:$E$63))*$F$63)</f>
        <v>8.5555555555555571</v>
      </c>
      <c r="G88" s="27">
        <f>ROUND(Second_Semester_English_II[[#This Row],[Quiz Average]],0)</f>
        <v>9</v>
      </c>
      <c r="H88" s="31">
        <v>4</v>
      </c>
      <c r="I88" s="31">
        <v>7</v>
      </c>
      <c r="J88" s="31">
        <v>7</v>
      </c>
      <c r="K88" s="20">
        <f>SUM(Second_Semester_English_II[[#This Row],[Assignment]:[Attendance]])</f>
        <v>18</v>
      </c>
      <c r="L88" s="27">
        <f>ROUND(Second_Semester_English_II[[#This Row],[Total out of APA]],0)</f>
        <v>18</v>
      </c>
      <c r="M88" s="28">
        <v>2</v>
      </c>
      <c r="N88" s="28">
        <v>5.5</v>
      </c>
      <c r="O88" s="28">
        <f>SUM(Second_Semester_English_II[[#This Row],[Midterm]:[Final]])</f>
        <v>7.5</v>
      </c>
      <c r="P88" s="42">
        <f>ROUND(Second_Semester_English_II[[#This Row],[Mid &amp; Final]],0)</f>
        <v>8</v>
      </c>
      <c r="Q88" s="42">
        <f t="shared" si="8"/>
        <v>35</v>
      </c>
      <c r="R88" s="46" t="str">
        <f t="shared" si="9"/>
        <v>F</v>
      </c>
      <c r="S88" s="44" t="str">
        <f t="shared" si="10"/>
        <v>0.00</v>
      </c>
      <c r="T88" s="34" t="str">
        <f t="shared" si="11"/>
        <v>Fail</v>
      </c>
    </row>
    <row r="89" spans="1:20" x14ac:dyDescent="0.25">
      <c r="A89" s="1" t="s">
        <v>50</v>
      </c>
      <c r="B89" s="29" t="s">
        <v>51</v>
      </c>
      <c r="C89" s="28">
        <v>11</v>
      </c>
      <c r="D89" s="28">
        <v>9.6666666666666661</v>
      </c>
      <c r="E89" s="28">
        <v>9.6666666666666661</v>
      </c>
      <c r="F89" s="28">
        <f>(((SUM(Second_Semester_English_II[[#This Row],[Quiz 1]:[Quiz 3]]))/SUM($C$63:$E$63))*$F$63)</f>
        <v>10.111111111111109</v>
      </c>
      <c r="G89" s="27">
        <f>ROUND(Second_Semester_English_II[[#This Row],[Quiz Average]],0)</f>
        <v>10</v>
      </c>
      <c r="H89" s="31">
        <v>4</v>
      </c>
      <c r="I89" s="31">
        <v>4</v>
      </c>
      <c r="J89" s="31">
        <v>6</v>
      </c>
      <c r="K89" s="20">
        <f>SUM(Second_Semester_English_II[[#This Row],[Assignment]:[Attendance]])</f>
        <v>14</v>
      </c>
      <c r="L89" s="27">
        <f>ROUND(Second_Semester_English_II[[#This Row],[Total out of APA]],0)</f>
        <v>14</v>
      </c>
      <c r="M89" s="28">
        <v>21</v>
      </c>
      <c r="N89" s="28">
        <v>36.5</v>
      </c>
      <c r="O89" s="28">
        <f>SUM(Second_Semester_English_II[[#This Row],[Midterm]:[Final]])</f>
        <v>57.5</v>
      </c>
      <c r="P89" s="42">
        <f>ROUND(Second_Semester_English_II[[#This Row],[Mid &amp; Final]],0)</f>
        <v>58</v>
      </c>
      <c r="Q89" s="42">
        <f t="shared" si="8"/>
        <v>82</v>
      </c>
      <c r="R89" s="46" t="str">
        <f t="shared" si="9"/>
        <v>A+</v>
      </c>
      <c r="S89" s="44" t="str">
        <f t="shared" si="10"/>
        <v>4.00</v>
      </c>
      <c r="T89" s="34" t="str">
        <f t="shared" si="11"/>
        <v>Outstanding</v>
      </c>
    </row>
    <row r="90" spans="1:20" x14ac:dyDescent="0.25">
      <c r="A90" s="1" t="s">
        <v>53</v>
      </c>
      <c r="B90" s="29" t="s">
        <v>54</v>
      </c>
      <c r="C90" s="28">
        <v>4.333333333333333</v>
      </c>
      <c r="D90" s="28">
        <v>1.3333333333333333</v>
      </c>
      <c r="E90" s="28">
        <v>3</v>
      </c>
      <c r="F90" s="28">
        <f>(((SUM(Second_Semester_English_II[[#This Row],[Quiz 1]:[Quiz 3]]))/SUM($C$63:$E$63))*$F$63)</f>
        <v>2.8888888888888888</v>
      </c>
      <c r="G90" s="27">
        <f>ROUND(Second_Semester_English_II[[#This Row],[Quiz Average]],0)</f>
        <v>3</v>
      </c>
      <c r="H90" s="31">
        <v>5</v>
      </c>
      <c r="I90" s="31">
        <v>5</v>
      </c>
      <c r="J90" s="31">
        <v>3</v>
      </c>
      <c r="K90" s="20">
        <f>SUM(Second_Semester_English_II[[#This Row],[Assignment]:[Attendance]])</f>
        <v>13</v>
      </c>
      <c r="L90" s="27">
        <f>ROUND(Second_Semester_English_II[[#This Row],[Total out of APA]],0)</f>
        <v>13</v>
      </c>
      <c r="M90" s="28">
        <v>1.5</v>
      </c>
      <c r="N90" s="28">
        <v>14</v>
      </c>
      <c r="O90" s="28">
        <f>SUM(Second_Semester_English_II[[#This Row],[Midterm]:[Final]])</f>
        <v>15.5</v>
      </c>
      <c r="P90" s="42">
        <f>ROUND(Second_Semester_English_II[[#This Row],[Mid &amp; Final]],0)</f>
        <v>16</v>
      </c>
      <c r="Q90" s="42">
        <f t="shared" si="8"/>
        <v>32</v>
      </c>
      <c r="R90" s="46" t="str">
        <f t="shared" si="9"/>
        <v>F</v>
      </c>
      <c r="S90" s="44" t="str">
        <f t="shared" si="10"/>
        <v>0.00</v>
      </c>
      <c r="T90" s="34" t="str">
        <f t="shared" si="11"/>
        <v>Fail</v>
      </c>
    </row>
    <row r="91" spans="1:20" ht="15.75" thickBot="1" x14ac:dyDescent="0.3">
      <c r="A91" s="35" t="s">
        <v>60</v>
      </c>
      <c r="B91" s="36" t="s">
        <v>61</v>
      </c>
      <c r="C91" s="37">
        <v>11</v>
      </c>
      <c r="D91" s="37">
        <v>8.3333333333333339</v>
      </c>
      <c r="E91" s="37">
        <v>1.3333333333333333</v>
      </c>
      <c r="F91" s="37">
        <f>(((SUM(Second_Semester_English_II[[#This Row],[Quiz 1]:[Quiz 3]]))/SUM($C$63:$E$63))*$F$63)</f>
        <v>6.8888888888888893</v>
      </c>
      <c r="G91" s="38">
        <f>ROUND(Second_Semester_English_II[[#This Row],[Quiz Average]],0)</f>
        <v>7</v>
      </c>
      <c r="H91" s="39">
        <v>3</v>
      </c>
      <c r="I91" s="39">
        <v>8</v>
      </c>
      <c r="J91" s="39">
        <v>6</v>
      </c>
      <c r="K91" s="40">
        <f>SUM(Second_Semester_English_II[[#This Row],[Assignment]:[Attendance]])</f>
        <v>17</v>
      </c>
      <c r="L91" s="38">
        <f>ROUND(Second_Semester_English_II[[#This Row],[Total out of APA]],0)</f>
        <v>17</v>
      </c>
      <c r="M91" s="37">
        <v>2.5</v>
      </c>
      <c r="N91" s="37">
        <v>15</v>
      </c>
      <c r="O91" s="37">
        <f>SUM(Second_Semester_English_II[[#This Row],[Midterm]:[Final]])</f>
        <v>17.5</v>
      </c>
      <c r="P91" s="43">
        <f>ROUND(Second_Semester_English_II[[#This Row],[Mid &amp; Final]],0)</f>
        <v>18</v>
      </c>
      <c r="Q91" s="59">
        <f t="shared" si="8"/>
        <v>42</v>
      </c>
      <c r="R91" s="47" t="str">
        <f t="shared" si="9"/>
        <v>D</v>
      </c>
      <c r="S91" s="45" t="str">
        <f t="shared" si="10"/>
        <v>2.00</v>
      </c>
      <c r="T91" s="41" t="str">
        <f t="shared" si="11"/>
        <v>Pass</v>
      </c>
    </row>
    <row r="92" spans="1:20" x14ac:dyDescent="0.25">
      <c r="A92" s="68"/>
      <c r="B92" s="68"/>
      <c r="C92" s="30"/>
      <c r="D92" s="30"/>
      <c r="E92" s="30"/>
      <c r="F92" s="30"/>
      <c r="G92" s="69"/>
      <c r="H92" s="71"/>
      <c r="I92" s="71"/>
      <c r="J92" s="71"/>
      <c r="K92" s="69"/>
      <c r="L92" s="69"/>
      <c r="M92" s="30"/>
      <c r="N92" s="30"/>
      <c r="O92" s="30"/>
      <c r="P92" s="70"/>
      <c r="Q92" s="70"/>
      <c r="R92" s="30"/>
      <c r="S92" s="30"/>
      <c r="T92" s="30"/>
    </row>
    <row r="93" spans="1:20" x14ac:dyDescent="0.25">
      <c r="A93" s="68"/>
      <c r="B93" s="68"/>
      <c r="C93" s="30"/>
      <c r="D93" s="30"/>
      <c r="E93" s="30"/>
      <c r="F93" s="30"/>
      <c r="G93" s="69"/>
      <c r="H93" s="71"/>
      <c r="I93" s="71"/>
      <c r="J93" s="71"/>
      <c r="K93" s="69"/>
      <c r="L93" s="69"/>
      <c r="M93" s="30"/>
      <c r="N93" s="30"/>
      <c r="O93" s="30"/>
      <c r="P93" s="70"/>
      <c r="Q93" s="70"/>
      <c r="R93" s="30"/>
      <c r="S93" s="30"/>
      <c r="T93" s="30"/>
    </row>
    <row r="94" spans="1:20" x14ac:dyDescent="0.25">
      <c r="A94" s="68"/>
      <c r="B94" s="68"/>
      <c r="C94" s="30"/>
      <c r="D94" s="30"/>
      <c r="E94" s="30"/>
      <c r="F94" s="30"/>
      <c r="G94" s="69"/>
      <c r="H94" s="71"/>
      <c r="I94" s="71"/>
      <c r="J94" s="71"/>
      <c r="K94" s="69"/>
      <c r="L94" s="69"/>
      <c r="M94" s="30"/>
      <c r="N94" s="30"/>
      <c r="O94" s="30"/>
      <c r="P94" s="70"/>
      <c r="Q94" s="70"/>
      <c r="R94" s="30"/>
      <c r="S94" s="30"/>
      <c r="T94" s="30"/>
    </row>
    <row r="95" spans="1:20" x14ac:dyDescent="0.25">
      <c r="A95" s="68"/>
      <c r="B95" s="68"/>
      <c r="C95" s="30"/>
      <c r="D95" s="30"/>
      <c r="E95" s="30"/>
      <c r="F95" s="30"/>
      <c r="G95" s="69"/>
      <c r="H95" s="71"/>
      <c r="I95" s="71"/>
      <c r="J95" s="71"/>
      <c r="K95" s="69"/>
      <c r="L95" s="69"/>
      <c r="M95" s="30"/>
      <c r="N95" s="30"/>
      <c r="O95" s="30"/>
      <c r="P95" s="70"/>
      <c r="Q95" s="70"/>
      <c r="R95" s="30"/>
      <c r="S95" s="30"/>
      <c r="T95" s="30"/>
    </row>
    <row r="96" spans="1:20" x14ac:dyDescent="0.25">
      <c r="A96" s="68"/>
      <c r="B96" s="68"/>
      <c r="C96" s="30"/>
      <c r="D96" s="30"/>
      <c r="E96" s="30"/>
      <c r="F96" s="30"/>
      <c r="G96" s="69"/>
      <c r="H96" s="71"/>
      <c r="I96" s="71"/>
      <c r="J96" s="71"/>
      <c r="K96" s="69"/>
      <c r="L96" s="69"/>
      <c r="M96" s="30"/>
      <c r="N96" s="30"/>
      <c r="O96" s="30"/>
      <c r="P96" s="70"/>
      <c r="Q96" s="70"/>
      <c r="R96" s="30"/>
      <c r="S96" s="30"/>
      <c r="T96" s="30"/>
    </row>
    <row r="97" spans="1:20" x14ac:dyDescent="0.25">
      <c r="A97" s="68"/>
      <c r="B97" s="68"/>
      <c r="C97" s="30"/>
      <c r="D97" s="30"/>
      <c r="E97" s="30"/>
      <c r="F97" s="30"/>
      <c r="G97" s="69"/>
      <c r="H97" s="71"/>
      <c r="I97" s="71"/>
      <c r="J97" s="71"/>
      <c r="K97" s="69"/>
      <c r="L97" s="69"/>
      <c r="M97" s="30"/>
      <c r="N97" s="30"/>
      <c r="O97" s="30"/>
      <c r="P97" s="70"/>
      <c r="Q97" s="70"/>
      <c r="R97" s="30"/>
      <c r="S97" s="30"/>
      <c r="T97" s="30"/>
    </row>
    <row r="107" spans="1:20" ht="27" customHeight="1" x14ac:dyDescent="0.25">
      <c r="A107" s="293" t="s">
        <v>163</v>
      </c>
      <c r="B107" s="293"/>
      <c r="C107" s="56" t="s">
        <v>165</v>
      </c>
      <c r="D107" s="56"/>
      <c r="E107" s="56"/>
      <c r="F107" s="294" t="s">
        <v>334</v>
      </c>
      <c r="G107" s="294"/>
      <c r="H107" s="294"/>
      <c r="I107" s="294"/>
      <c r="J107" s="294"/>
      <c r="K107" s="294"/>
      <c r="L107" s="294"/>
      <c r="M107" s="56"/>
      <c r="N107" s="56"/>
      <c r="O107" s="64" t="s">
        <v>167</v>
      </c>
      <c r="P107" s="65">
        <v>44409</v>
      </c>
      <c r="Q107" s="56"/>
      <c r="R107" s="56"/>
    </row>
    <row r="108" spans="1:20" ht="27" customHeight="1" thickBot="1" x14ac:dyDescent="0.3">
      <c r="A108" s="296" t="s">
        <v>164</v>
      </c>
      <c r="B108" s="296"/>
      <c r="C108" s="63" t="s">
        <v>166</v>
      </c>
      <c r="D108" s="63"/>
      <c r="E108" s="62"/>
      <c r="F108" s="295"/>
      <c r="G108" s="295"/>
      <c r="H108" s="295"/>
      <c r="I108" s="295"/>
      <c r="J108" s="295"/>
      <c r="K108" s="295"/>
      <c r="L108" s="295"/>
      <c r="M108" s="32"/>
      <c r="N108" s="32"/>
      <c r="O108" s="72" t="s">
        <v>168</v>
      </c>
      <c r="P108" s="73">
        <v>0.91666666666666663</v>
      </c>
      <c r="Q108" s="9"/>
      <c r="R108" s="9"/>
    </row>
    <row r="109" spans="1:20" x14ac:dyDescent="0.25">
      <c r="A109" s="58" t="s">
        <v>0</v>
      </c>
      <c r="B109" s="57" t="s">
        <v>20</v>
      </c>
      <c r="C109" s="20" t="s">
        <v>132</v>
      </c>
      <c r="D109" s="20" t="s">
        <v>133</v>
      </c>
      <c r="E109" s="20" t="s">
        <v>134</v>
      </c>
      <c r="F109" s="20" t="s">
        <v>135</v>
      </c>
      <c r="G109" s="27" t="s">
        <v>136</v>
      </c>
      <c r="H109" s="20" t="s">
        <v>139</v>
      </c>
      <c r="I109" s="20" t="s">
        <v>137</v>
      </c>
      <c r="J109" s="20" t="s">
        <v>144</v>
      </c>
      <c r="K109" s="20" t="s">
        <v>169</v>
      </c>
      <c r="L109" s="33" t="s">
        <v>170</v>
      </c>
      <c r="M109" s="75" t="s">
        <v>147</v>
      </c>
      <c r="N109" s="75" t="s">
        <v>148</v>
      </c>
      <c r="O109" s="75" t="s">
        <v>149</v>
      </c>
      <c r="P109" s="77" t="s">
        <v>150</v>
      </c>
      <c r="Q109" s="9"/>
      <c r="R109" s="9"/>
      <c r="S109" s="9"/>
      <c r="T109" s="9"/>
    </row>
    <row r="110" spans="1:20" x14ac:dyDescent="0.25">
      <c r="A110" s="15"/>
      <c r="B110" s="49" t="s">
        <v>142</v>
      </c>
      <c r="C110" s="50">
        <v>15</v>
      </c>
      <c r="D110" s="50">
        <v>15</v>
      </c>
      <c r="E110" s="50">
        <v>15</v>
      </c>
      <c r="F110" s="51">
        <v>15</v>
      </c>
      <c r="G110" s="52">
        <v>15</v>
      </c>
      <c r="H110" s="50">
        <v>10</v>
      </c>
      <c r="I110" s="50">
        <v>35</v>
      </c>
      <c r="J110" s="50">
        <v>40</v>
      </c>
      <c r="K110" s="53">
        <v>75</v>
      </c>
      <c r="L110" s="54">
        <v>75</v>
      </c>
      <c r="M110" s="55">
        <v>100</v>
      </c>
      <c r="N110" s="55" t="s">
        <v>151</v>
      </c>
      <c r="O110" s="54" t="s">
        <v>152</v>
      </c>
      <c r="P110" s="78" t="s">
        <v>153</v>
      </c>
    </row>
    <row r="111" spans="1:20" x14ac:dyDescent="0.25">
      <c r="A111" s="1" t="s">
        <v>57</v>
      </c>
      <c r="B111" s="29" t="s">
        <v>58</v>
      </c>
      <c r="C111" s="28">
        <v>7.666666666666667</v>
      </c>
      <c r="D111" s="28">
        <v>14</v>
      </c>
      <c r="E111" s="28">
        <v>8.6666666666666661</v>
      </c>
      <c r="F111" s="28">
        <f>(((SUM(Second_Semester_Structured_Programming[[#This Row],[Quiz 1]:[Quiz 3]]))/SUM($C$63:$E$63))*$F$63)</f>
        <v>10.111111111111112</v>
      </c>
      <c r="G111" s="27">
        <f>ROUND(Second_Semester_Structured_Programming[[#This Row],[Quiz Average]],0)</f>
        <v>10</v>
      </c>
      <c r="H111" s="31">
        <v>6</v>
      </c>
      <c r="I111" s="28">
        <v>3.5</v>
      </c>
      <c r="J111" s="28">
        <v>1.5</v>
      </c>
      <c r="K111" s="28">
        <f>SUM(Second_Semester_Structured_Programming[[#This Row],[Assignment]:[Final]])</f>
        <v>5</v>
      </c>
      <c r="L111" s="42">
        <f>ROUND(Second_Semester_Structured_Programming[[#This Row],[Ass &amp; Final]],0)</f>
        <v>5</v>
      </c>
      <c r="M111" s="42">
        <f>SUM(G111,H111,L111)</f>
        <v>21</v>
      </c>
      <c r="N111" s="46" t="str">
        <f>IF(M111&gt;79,"A+",IF(M111&gt;74,"A",IF(M111&gt;69,"A-",IF(M111&gt;64,"B+",IF(M111&gt;59,"B",IF(M111&gt;54,"B-",IF(M111&gt;49,"C+",IF(M111&gt;44,"C",IF(M111&gt;39,"D",IF(M111&gt;0,"F","N/A"))))))))))</f>
        <v>F</v>
      </c>
      <c r="O111" s="44" t="str">
        <f>IF(M111&gt;79,"4.00",IF(M111&gt;74,"3.75",IF(M111&gt;69,"3.50",IF(M111&gt;64,"3.25",IF(M111&gt;59,"3.00",IF(M111&gt;54,"2.75",IF(M111&gt;49,"2.50",IF(M111&gt;44,"2.25",IF(M111&gt;39,"2.00",IF(M111&gt;0,"0.00","N/A"))))))))))</f>
        <v>0.00</v>
      </c>
      <c r="P111" s="79" t="str">
        <f>IF(M111&gt;79,"Outstanding",IF(M111&gt;74,"Excellent",IF(M111&gt;69,"Very Good",IF(M111&gt;64,"Good",IF(M111&gt;59,"Satisfactory",IF(M111&gt;54,"Above Average",IF(M111&gt;49,"Average",IF(M111&gt;44,"Bellow Average",IF(M111&gt;39,"Pass",IF(M111&gt;0,"Fail","N/A"))))))))))</f>
        <v>Fail</v>
      </c>
    </row>
    <row r="112" spans="1:20" x14ac:dyDescent="0.25">
      <c r="A112" s="1" t="s">
        <v>56</v>
      </c>
      <c r="B112" s="29" t="s">
        <v>59</v>
      </c>
      <c r="C112" s="28">
        <v>2</v>
      </c>
      <c r="D112" s="28">
        <v>11.666666666666666</v>
      </c>
      <c r="E112" s="28">
        <v>15</v>
      </c>
      <c r="F112" s="28">
        <f>(((SUM(Second_Semester_Structured_Programming[[#This Row],[Quiz 1]:[Quiz 3]]))/SUM($C$63:$E$63))*$F$63)</f>
        <v>9.5555555555555536</v>
      </c>
      <c r="G112" s="27">
        <f>ROUND(Second_Semester_Structured_Programming[[#This Row],[Quiz Average]],0)</f>
        <v>10</v>
      </c>
      <c r="H112" s="31">
        <v>4</v>
      </c>
      <c r="I112" s="28">
        <v>27.5</v>
      </c>
      <c r="J112" s="28">
        <v>2.5</v>
      </c>
      <c r="K112" s="28">
        <f>SUM(Second_Semester_Structured_Programming[[#This Row],[Assignment]:[Final]])</f>
        <v>30</v>
      </c>
      <c r="L112" s="42">
        <f>ROUND(Second_Semester_Structured_Programming[[#This Row],[Ass &amp; Final]],0)</f>
        <v>30</v>
      </c>
      <c r="M112" s="42">
        <f t="shared" ref="M112:M138" si="12">SUM(G112,H112,L112)</f>
        <v>44</v>
      </c>
      <c r="N112" s="46" t="str">
        <f t="shared" ref="N112:N138" si="13">IF(M112&gt;79,"A+",IF(M112&gt;74,"A",IF(M112&gt;69,"A-",IF(M112&gt;64,"B+",IF(M112&gt;59,"B",IF(M112&gt;54,"B-",IF(M112&gt;49,"C+",IF(M112&gt;44,"C",IF(M112&gt;39,"D",IF(M112&gt;0,"F","N/A"))))))))))</f>
        <v>D</v>
      </c>
      <c r="O112" s="44" t="str">
        <f t="shared" ref="O112:O138" si="14">IF(M112&gt;79,"4.00",IF(M112&gt;74,"3.75",IF(M112&gt;69,"3.50",IF(M112&gt;64,"3.25",IF(M112&gt;59,"3.00",IF(M112&gt;54,"2.75",IF(M112&gt;49,"2.50",IF(M112&gt;44,"2.25",IF(M112&gt;39,"2.00",IF(M112&gt;0,"0.00","N/A"))))))))))</f>
        <v>2.00</v>
      </c>
      <c r="P112" s="79" t="str">
        <f t="shared" ref="P112:P138" si="15">IF(M112&gt;79,"Outstanding",IF(M112&gt;74,"Excellent",IF(M112&gt;69,"Very Good",IF(M112&gt;64,"Good",IF(M112&gt;59,"Satisfactory",IF(M112&gt;54,"Above Average",IF(M112&gt;49,"Average",IF(M112&gt;44,"Bellow Average",IF(M112&gt;39,"Pass",IF(M112&gt;0,"Fail","N/A"))))))))))</f>
        <v>Pass</v>
      </c>
    </row>
    <row r="113" spans="1:16" x14ac:dyDescent="0.25">
      <c r="A113" s="1" t="s">
        <v>1</v>
      </c>
      <c r="B113" s="29" t="s">
        <v>27</v>
      </c>
      <c r="C113" s="28">
        <v>8.6666666666666661</v>
      </c>
      <c r="D113" s="28">
        <v>5.666666666666667</v>
      </c>
      <c r="E113" s="28">
        <v>8</v>
      </c>
      <c r="F113" s="28">
        <f>(((SUM(Second_Semester_Structured_Programming[[#This Row],[Quiz 1]:[Quiz 3]]))/SUM($C$63:$E$63))*$F$63)</f>
        <v>7.4444444444444446</v>
      </c>
      <c r="G113" s="27">
        <f>ROUND(Second_Semester_Structured_Programming[[#This Row],[Quiz Average]],0)</f>
        <v>7</v>
      </c>
      <c r="H113" s="31">
        <v>10</v>
      </c>
      <c r="I113" s="28">
        <v>21</v>
      </c>
      <c r="J113" s="28">
        <v>30.5</v>
      </c>
      <c r="K113" s="28">
        <f>SUM(Second_Semester_Structured_Programming[[#This Row],[Assignment]:[Final]])</f>
        <v>51.5</v>
      </c>
      <c r="L113" s="42">
        <f>ROUND(Second_Semester_Structured_Programming[[#This Row],[Ass &amp; Final]],0)</f>
        <v>52</v>
      </c>
      <c r="M113" s="42">
        <f t="shared" si="12"/>
        <v>69</v>
      </c>
      <c r="N113" s="46" t="str">
        <f t="shared" si="13"/>
        <v>B+</v>
      </c>
      <c r="O113" s="44" t="str">
        <f t="shared" si="14"/>
        <v>3.25</v>
      </c>
      <c r="P113" s="34" t="str">
        <f t="shared" si="15"/>
        <v>Good</v>
      </c>
    </row>
    <row r="114" spans="1:16" x14ac:dyDescent="0.25">
      <c r="A114" s="1" t="s">
        <v>2</v>
      </c>
      <c r="B114" s="29" t="s">
        <v>28</v>
      </c>
      <c r="C114" s="28">
        <v>11.333333333333334</v>
      </c>
      <c r="D114" s="28">
        <v>10.666666666666666</v>
      </c>
      <c r="E114" s="28">
        <v>3.6666666666666665</v>
      </c>
      <c r="F114" s="28">
        <f>(((SUM(Second_Semester_Structured_Programming[[#This Row],[Quiz 1]:[Quiz 3]]))/SUM($C$63:$E$63))*$F$63)</f>
        <v>8.5555555555555571</v>
      </c>
      <c r="G114" s="27">
        <f>ROUND(Second_Semester_Structured_Programming[[#This Row],[Quiz Average]],0)</f>
        <v>9</v>
      </c>
      <c r="H114" s="31">
        <v>2</v>
      </c>
      <c r="I114" s="28">
        <v>17</v>
      </c>
      <c r="J114" s="28">
        <v>14.5</v>
      </c>
      <c r="K114" s="28">
        <f>SUM(Second_Semester_Structured_Programming[[#This Row],[Assignment]:[Final]])</f>
        <v>31.5</v>
      </c>
      <c r="L114" s="42">
        <f>ROUND(Second_Semester_Structured_Programming[[#This Row],[Ass &amp; Final]],0)</f>
        <v>32</v>
      </c>
      <c r="M114" s="42">
        <f t="shared" si="12"/>
        <v>43</v>
      </c>
      <c r="N114" s="46" t="str">
        <f t="shared" si="13"/>
        <v>D</v>
      </c>
      <c r="O114" s="44" t="str">
        <f t="shared" si="14"/>
        <v>2.00</v>
      </c>
      <c r="P114" s="34" t="str">
        <f t="shared" si="15"/>
        <v>Pass</v>
      </c>
    </row>
    <row r="115" spans="1:16" x14ac:dyDescent="0.25">
      <c r="A115" s="1" t="s">
        <v>3</v>
      </c>
      <c r="B115" s="29" t="s">
        <v>29</v>
      </c>
      <c r="C115" s="28">
        <v>9.3333333333333339</v>
      </c>
      <c r="D115" s="28">
        <v>1.6666666666666667</v>
      </c>
      <c r="E115" s="28">
        <v>1.6666666666666667</v>
      </c>
      <c r="F115" s="28">
        <f>(((SUM(Second_Semester_Structured_Programming[[#This Row],[Quiz 1]:[Quiz 3]]))/SUM($C$63:$E$63))*$F$63)</f>
        <v>4.2222222222222214</v>
      </c>
      <c r="G115" s="27">
        <f>ROUND(Second_Semester_Structured_Programming[[#This Row],[Quiz Average]],0)</f>
        <v>4</v>
      </c>
      <c r="H115" s="31">
        <v>8</v>
      </c>
      <c r="I115" s="28">
        <v>10</v>
      </c>
      <c r="J115" s="28">
        <v>27.5</v>
      </c>
      <c r="K115" s="28">
        <f>SUM(Second_Semester_Structured_Programming[[#This Row],[Assignment]:[Final]])</f>
        <v>37.5</v>
      </c>
      <c r="L115" s="42">
        <f>ROUND(Second_Semester_Structured_Programming[[#This Row],[Ass &amp; Final]],0)</f>
        <v>38</v>
      </c>
      <c r="M115" s="42">
        <f t="shared" si="12"/>
        <v>50</v>
      </c>
      <c r="N115" s="46" t="str">
        <f t="shared" si="13"/>
        <v>C+</v>
      </c>
      <c r="O115" s="44" t="str">
        <f t="shared" si="14"/>
        <v>2.50</v>
      </c>
      <c r="P115" s="34" t="str">
        <f t="shared" si="15"/>
        <v>Average</v>
      </c>
    </row>
    <row r="116" spans="1:16" x14ac:dyDescent="0.25">
      <c r="A116" s="1" t="s">
        <v>4</v>
      </c>
      <c r="B116" s="29" t="s">
        <v>30</v>
      </c>
      <c r="C116" s="28">
        <v>12.333333333333334</v>
      </c>
      <c r="D116" s="28">
        <v>15</v>
      </c>
      <c r="E116" s="28">
        <v>13.666666666666666</v>
      </c>
      <c r="F116" s="28">
        <f>(((SUM(Second_Semester_Structured_Programming[[#This Row],[Quiz 1]:[Quiz 3]]))/SUM($C$63:$E$63))*$F$63)</f>
        <v>13.666666666666666</v>
      </c>
      <c r="G116" s="27">
        <f>ROUND(Second_Semester_Structured_Programming[[#This Row],[Quiz Average]],0)</f>
        <v>14</v>
      </c>
      <c r="H116" s="31">
        <v>4</v>
      </c>
      <c r="I116" s="28">
        <v>17</v>
      </c>
      <c r="J116" s="28">
        <v>7</v>
      </c>
      <c r="K116" s="28">
        <f>SUM(Second_Semester_Structured_Programming[[#This Row],[Assignment]:[Final]])</f>
        <v>24</v>
      </c>
      <c r="L116" s="42">
        <f>ROUND(Second_Semester_Structured_Programming[[#This Row],[Ass &amp; Final]],0)</f>
        <v>24</v>
      </c>
      <c r="M116" s="42">
        <f t="shared" si="12"/>
        <v>42</v>
      </c>
      <c r="N116" s="46" t="str">
        <f t="shared" si="13"/>
        <v>D</v>
      </c>
      <c r="O116" s="44" t="str">
        <f t="shared" si="14"/>
        <v>2.00</v>
      </c>
      <c r="P116" s="34" t="str">
        <f t="shared" si="15"/>
        <v>Pass</v>
      </c>
    </row>
    <row r="117" spans="1:16" s="21" customFormat="1" x14ac:dyDescent="0.25">
      <c r="A117" s="6" t="s">
        <v>5</v>
      </c>
      <c r="B117" s="225" t="s">
        <v>31</v>
      </c>
      <c r="C117" s="221"/>
      <c r="D117" s="221"/>
      <c r="E117" s="221"/>
      <c r="F117" s="221"/>
      <c r="G117" s="226"/>
      <c r="H117" s="220"/>
      <c r="I117" s="221"/>
      <c r="J117" s="221"/>
      <c r="K117" s="221"/>
      <c r="L117" s="222"/>
      <c r="M117" s="222"/>
      <c r="N117" s="223"/>
      <c r="O117" s="224"/>
      <c r="P117" s="219"/>
    </row>
    <row r="118" spans="1:16" s="21" customFormat="1" x14ac:dyDescent="0.25">
      <c r="A118" s="1" t="s">
        <v>6</v>
      </c>
      <c r="B118" s="29" t="s">
        <v>32</v>
      </c>
      <c r="C118" s="28">
        <v>6.333333333333333</v>
      </c>
      <c r="D118" s="28">
        <v>9.6666666666666661</v>
      </c>
      <c r="E118" s="28">
        <v>6.333333333333333</v>
      </c>
      <c r="F118" s="28">
        <f>(((SUM(Second_Semester_Structured_Programming[[#This Row],[Quiz 1]:[Quiz 3]]))/SUM($C$63:$E$63))*$F$63)</f>
        <v>7.4444444444444446</v>
      </c>
      <c r="G118" s="27">
        <f>ROUND(Second_Semester_Structured_Programming[[#This Row],[Quiz Average]],0)</f>
        <v>7</v>
      </c>
      <c r="H118" s="31">
        <v>4</v>
      </c>
      <c r="I118" s="28">
        <v>19.5</v>
      </c>
      <c r="J118" s="28">
        <v>34.5</v>
      </c>
      <c r="K118" s="28">
        <f>SUM(Second_Semester_Structured_Programming[[#This Row],[Assignment]:[Final]])</f>
        <v>54</v>
      </c>
      <c r="L118" s="42">
        <f>ROUND(Second_Semester_Structured_Programming[[#This Row],[Ass &amp; Final]],0)</f>
        <v>54</v>
      </c>
      <c r="M118" s="42">
        <f t="shared" si="12"/>
        <v>65</v>
      </c>
      <c r="N118" s="46" t="str">
        <f t="shared" si="13"/>
        <v>B+</v>
      </c>
      <c r="O118" s="44" t="str">
        <f t="shared" si="14"/>
        <v>3.25</v>
      </c>
      <c r="P118" s="34" t="str">
        <f t="shared" si="15"/>
        <v>Good</v>
      </c>
    </row>
    <row r="119" spans="1:16" s="21" customFormat="1" x14ac:dyDescent="0.25">
      <c r="A119" s="1" t="s">
        <v>7</v>
      </c>
      <c r="B119" s="29" t="s">
        <v>33</v>
      </c>
      <c r="C119" s="28">
        <v>8.6666666666666661</v>
      </c>
      <c r="D119" s="28">
        <v>10.333333333333334</v>
      </c>
      <c r="E119" s="28">
        <v>6.333333333333333</v>
      </c>
      <c r="F119" s="28">
        <f>(((SUM(Second_Semester_Structured_Programming[[#This Row],[Quiz 1]:[Quiz 3]]))/SUM($C$63:$E$63))*$F$63)</f>
        <v>8.4444444444444429</v>
      </c>
      <c r="G119" s="27">
        <f>ROUND(Second_Semester_Structured_Programming[[#This Row],[Quiz Average]],0)</f>
        <v>8</v>
      </c>
      <c r="H119" s="31">
        <v>3</v>
      </c>
      <c r="I119" s="28">
        <v>4</v>
      </c>
      <c r="J119" s="28">
        <v>6.5</v>
      </c>
      <c r="K119" s="28">
        <f>SUM(Second_Semester_Structured_Programming[[#This Row],[Assignment]:[Final]])</f>
        <v>10.5</v>
      </c>
      <c r="L119" s="42">
        <f>ROUND(Second_Semester_Structured_Programming[[#This Row],[Ass &amp; Final]],0)</f>
        <v>11</v>
      </c>
      <c r="M119" s="42">
        <f t="shared" si="12"/>
        <v>22</v>
      </c>
      <c r="N119" s="46" t="str">
        <f t="shared" si="13"/>
        <v>F</v>
      </c>
      <c r="O119" s="44" t="str">
        <f t="shared" si="14"/>
        <v>0.00</v>
      </c>
      <c r="P119" s="34" t="str">
        <f t="shared" si="15"/>
        <v>Fail</v>
      </c>
    </row>
    <row r="120" spans="1:16" s="21" customFormat="1" x14ac:dyDescent="0.25">
      <c r="A120" s="1" t="s">
        <v>8</v>
      </c>
      <c r="B120" s="29" t="s">
        <v>34</v>
      </c>
      <c r="C120" s="28">
        <v>5.333333333333333</v>
      </c>
      <c r="D120" s="28">
        <v>8</v>
      </c>
      <c r="E120" s="28">
        <v>2</v>
      </c>
      <c r="F120" s="28">
        <f>(((SUM(Second_Semester_Structured_Programming[[#This Row],[Quiz 1]:[Quiz 3]]))/SUM($C$63:$E$63))*$F$63)</f>
        <v>5.1111111111111107</v>
      </c>
      <c r="G120" s="27">
        <f>ROUND(Second_Semester_Structured_Programming[[#This Row],[Quiz Average]],0)</f>
        <v>5</v>
      </c>
      <c r="H120" s="31">
        <v>6</v>
      </c>
      <c r="I120" s="28">
        <v>25</v>
      </c>
      <c r="J120" s="28">
        <v>25.5</v>
      </c>
      <c r="K120" s="28">
        <f>SUM(Second_Semester_Structured_Programming[[#This Row],[Assignment]:[Final]])</f>
        <v>50.5</v>
      </c>
      <c r="L120" s="42">
        <f>ROUND(Second_Semester_Structured_Programming[[#This Row],[Ass &amp; Final]],0)</f>
        <v>51</v>
      </c>
      <c r="M120" s="42">
        <f t="shared" si="12"/>
        <v>62</v>
      </c>
      <c r="N120" s="46" t="str">
        <f t="shared" si="13"/>
        <v>B</v>
      </c>
      <c r="O120" s="44" t="str">
        <f t="shared" si="14"/>
        <v>3.00</v>
      </c>
      <c r="P120" s="34" t="str">
        <f t="shared" si="15"/>
        <v>Satisfactory</v>
      </c>
    </row>
    <row r="121" spans="1:16" s="21" customFormat="1" x14ac:dyDescent="0.25">
      <c r="A121" s="1" t="s">
        <v>9</v>
      </c>
      <c r="B121" s="29" t="s">
        <v>35</v>
      </c>
      <c r="C121" s="28">
        <v>13.666666666666666</v>
      </c>
      <c r="D121" s="28">
        <v>10</v>
      </c>
      <c r="E121" s="28">
        <v>6.333333333333333</v>
      </c>
      <c r="F121" s="28">
        <f>(((SUM(Second_Semester_Structured_Programming[[#This Row],[Quiz 1]:[Quiz 3]]))/SUM($C$63:$E$63))*$F$63)</f>
        <v>10</v>
      </c>
      <c r="G121" s="27">
        <f>ROUND(Second_Semester_Structured_Programming[[#This Row],[Quiz Average]],0)</f>
        <v>10</v>
      </c>
      <c r="H121" s="31">
        <v>2</v>
      </c>
      <c r="I121" s="28">
        <v>2</v>
      </c>
      <c r="J121" s="28">
        <v>15.5</v>
      </c>
      <c r="K121" s="28">
        <f>SUM(Second_Semester_Structured_Programming[[#This Row],[Assignment]:[Final]])</f>
        <v>17.5</v>
      </c>
      <c r="L121" s="42">
        <f>ROUND(Second_Semester_Structured_Programming[[#This Row],[Ass &amp; Final]],0)</f>
        <v>18</v>
      </c>
      <c r="M121" s="42">
        <f t="shared" si="12"/>
        <v>30</v>
      </c>
      <c r="N121" s="46" t="str">
        <f t="shared" si="13"/>
        <v>F</v>
      </c>
      <c r="O121" s="44" t="str">
        <f t="shared" si="14"/>
        <v>0.00</v>
      </c>
      <c r="P121" s="34" t="str">
        <f t="shared" si="15"/>
        <v>Fail</v>
      </c>
    </row>
    <row r="122" spans="1:16" s="21" customFormat="1" x14ac:dyDescent="0.25">
      <c r="A122" s="1" t="s">
        <v>10</v>
      </c>
      <c r="B122" s="29" t="s">
        <v>36</v>
      </c>
      <c r="C122" s="28">
        <v>5.333333333333333</v>
      </c>
      <c r="D122" s="28">
        <v>11</v>
      </c>
      <c r="E122" s="28">
        <v>3</v>
      </c>
      <c r="F122" s="28">
        <f>(((SUM(Second_Semester_Structured_Programming[[#This Row],[Quiz 1]:[Quiz 3]]))/SUM($C$63:$E$63))*$F$63)</f>
        <v>6.4444444444444438</v>
      </c>
      <c r="G122" s="27">
        <f>ROUND(Second_Semester_Structured_Programming[[#This Row],[Quiz Average]],0)</f>
        <v>6</v>
      </c>
      <c r="H122" s="31">
        <v>3</v>
      </c>
      <c r="I122" s="28">
        <v>16</v>
      </c>
      <c r="J122" s="28">
        <v>3.5</v>
      </c>
      <c r="K122" s="28">
        <f>SUM(Second_Semester_Structured_Programming[[#This Row],[Assignment]:[Final]])</f>
        <v>19.5</v>
      </c>
      <c r="L122" s="42">
        <f>ROUND(Second_Semester_Structured_Programming[[#This Row],[Ass &amp; Final]],0)</f>
        <v>20</v>
      </c>
      <c r="M122" s="42">
        <f t="shared" si="12"/>
        <v>29</v>
      </c>
      <c r="N122" s="46" t="str">
        <f t="shared" si="13"/>
        <v>F</v>
      </c>
      <c r="O122" s="44" t="str">
        <f t="shared" si="14"/>
        <v>0.00</v>
      </c>
      <c r="P122" s="34" t="str">
        <f t="shared" si="15"/>
        <v>Fail</v>
      </c>
    </row>
    <row r="123" spans="1:16" s="21" customFormat="1" x14ac:dyDescent="0.25">
      <c r="A123" s="6" t="s">
        <v>11</v>
      </c>
      <c r="B123" s="225" t="s">
        <v>31</v>
      </c>
      <c r="C123" s="221"/>
      <c r="D123" s="221"/>
      <c r="E123" s="221"/>
      <c r="F123" s="221"/>
      <c r="G123" s="226"/>
      <c r="H123" s="220"/>
      <c r="I123" s="221"/>
      <c r="J123" s="221"/>
      <c r="K123" s="221"/>
      <c r="L123" s="222"/>
      <c r="M123" s="222"/>
      <c r="N123" s="223"/>
      <c r="O123" s="224"/>
      <c r="P123" s="219"/>
    </row>
    <row r="124" spans="1:16" s="21" customFormat="1" x14ac:dyDescent="0.25">
      <c r="A124" s="1" t="s">
        <v>12</v>
      </c>
      <c r="B124" s="29" t="s">
        <v>37</v>
      </c>
      <c r="C124" s="28">
        <v>13</v>
      </c>
      <c r="D124" s="28">
        <v>4.333333333333333</v>
      </c>
      <c r="E124" s="28">
        <v>5</v>
      </c>
      <c r="F124" s="28">
        <f>(((SUM(Second_Semester_Structured_Programming[[#This Row],[Quiz 1]:[Quiz 3]]))/SUM($C$63:$E$63))*$F$63)</f>
        <v>7.4444444444444446</v>
      </c>
      <c r="G124" s="27">
        <f>ROUND(Second_Semester_Structured_Programming[[#This Row],[Quiz Average]],0)</f>
        <v>7</v>
      </c>
      <c r="H124" s="31">
        <v>8</v>
      </c>
      <c r="I124" s="28">
        <v>15</v>
      </c>
      <c r="J124" s="28">
        <v>21</v>
      </c>
      <c r="K124" s="28">
        <f>SUM(Second_Semester_Structured_Programming[[#This Row],[Assignment]:[Final]])</f>
        <v>36</v>
      </c>
      <c r="L124" s="42">
        <f>ROUND(Second_Semester_Structured_Programming[[#This Row],[Ass &amp; Final]],0)</f>
        <v>36</v>
      </c>
      <c r="M124" s="42">
        <f t="shared" si="12"/>
        <v>51</v>
      </c>
      <c r="N124" s="46" t="str">
        <f t="shared" si="13"/>
        <v>C+</v>
      </c>
      <c r="O124" s="44" t="str">
        <f t="shared" si="14"/>
        <v>2.50</v>
      </c>
      <c r="P124" s="34" t="str">
        <f t="shared" si="15"/>
        <v>Average</v>
      </c>
    </row>
    <row r="125" spans="1:16" s="21" customFormat="1" x14ac:dyDescent="0.25">
      <c r="A125" s="1" t="s">
        <v>13</v>
      </c>
      <c r="B125" s="29" t="s">
        <v>38</v>
      </c>
      <c r="C125" s="28">
        <v>11</v>
      </c>
      <c r="D125" s="28">
        <v>11</v>
      </c>
      <c r="E125" s="28">
        <v>8.6666666666666661</v>
      </c>
      <c r="F125" s="28">
        <f>(((SUM(Second_Semester_Structured_Programming[[#This Row],[Quiz 1]:[Quiz 3]]))/SUM($C$63:$E$63))*$F$63)</f>
        <v>10.222222222222221</v>
      </c>
      <c r="G125" s="27">
        <f>ROUND(Second_Semester_Structured_Programming[[#This Row],[Quiz Average]],0)</f>
        <v>10</v>
      </c>
      <c r="H125" s="31">
        <v>6</v>
      </c>
      <c r="I125" s="28">
        <v>17.5</v>
      </c>
      <c r="J125" s="28">
        <v>18.5</v>
      </c>
      <c r="K125" s="28">
        <f>SUM(Second_Semester_Structured_Programming[[#This Row],[Assignment]:[Final]])</f>
        <v>36</v>
      </c>
      <c r="L125" s="42">
        <f>ROUND(Second_Semester_Structured_Programming[[#This Row],[Ass &amp; Final]],0)</f>
        <v>36</v>
      </c>
      <c r="M125" s="42">
        <f t="shared" si="12"/>
        <v>52</v>
      </c>
      <c r="N125" s="46" t="str">
        <f t="shared" si="13"/>
        <v>C+</v>
      </c>
      <c r="O125" s="44" t="str">
        <f t="shared" si="14"/>
        <v>2.50</v>
      </c>
      <c r="P125" s="34" t="str">
        <f t="shared" si="15"/>
        <v>Average</v>
      </c>
    </row>
    <row r="126" spans="1:16" s="21" customFormat="1" x14ac:dyDescent="0.25">
      <c r="A126" s="1" t="s">
        <v>14</v>
      </c>
      <c r="B126" s="29" t="s">
        <v>39</v>
      </c>
      <c r="C126" s="28">
        <v>4.666666666666667</v>
      </c>
      <c r="D126" s="28">
        <v>2.3333333333333335</v>
      </c>
      <c r="E126" s="28">
        <v>3.3333333333333335</v>
      </c>
      <c r="F126" s="28">
        <f>(((SUM(Second_Semester_Structured_Programming[[#This Row],[Quiz 1]:[Quiz 3]]))/SUM($C$63:$E$63))*$F$63)</f>
        <v>3.4444444444444446</v>
      </c>
      <c r="G126" s="27">
        <f>ROUND(Second_Semester_Structured_Programming[[#This Row],[Quiz Average]],0)</f>
        <v>3</v>
      </c>
      <c r="H126" s="31">
        <v>6</v>
      </c>
      <c r="I126" s="28">
        <v>1.5</v>
      </c>
      <c r="J126" s="28">
        <v>38</v>
      </c>
      <c r="K126" s="28">
        <f>SUM(Second_Semester_Structured_Programming[[#This Row],[Assignment]:[Final]])</f>
        <v>39.5</v>
      </c>
      <c r="L126" s="42">
        <f>ROUND(Second_Semester_Structured_Programming[[#This Row],[Ass &amp; Final]],0)</f>
        <v>40</v>
      </c>
      <c r="M126" s="42">
        <f t="shared" si="12"/>
        <v>49</v>
      </c>
      <c r="N126" s="46" t="str">
        <f t="shared" si="13"/>
        <v>C</v>
      </c>
      <c r="O126" s="44" t="str">
        <f t="shared" si="14"/>
        <v>2.25</v>
      </c>
      <c r="P126" s="34" t="str">
        <f t="shared" si="15"/>
        <v>Bellow Average</v>
      </c>
    </row>
    <row r="127" spans="1:16" s="21" customFormat="1" x14ac:dyDescent="0.25">
      <c r="A127" s="1" t="s">
        <v>15</v>
      </c>
      <c r="B127" s="29" t="s">
        <v>40</v>
      </c>
      <c r="C127" s="28">
        <v>10.333333333333334</v>
      </c>
      <c r="D127" s="28">
        <v>1</v>
      </c>
      <c r="E127" s="28">
        <v>1</v>
      </c>
      <c r="F127" s="28">
        <f>(((SUM(Second_Semester_Structured_Programming[[#This Row],[Quiz 1]:[Quiz 3]]))/SUM($C$63:$E$63))*$F$63)</f>
        <v>4.1111111111111116</v>
      </c>
      <c r="G127" s="27">
        <f>ROUND(Second_Semester_Structured_Programming[[#This Row],[Quiz Average]],0)</f>
        <v>4</v>
      </c>
      <c r="H127" s="31">
        <v>5</v>
      </c>
      <c r="I127" s="28">
        <v>15</v>
      </c>
      <c r="J127" s="28">
        <v>6</v>
      </c>
      <c r="K127" s="28">
        <f>SUM(Second_Semester_Structured_Programming[[#This Row],[Assignment]:[Final]])</f>
        <v>21</v>
      </c>
      <c r="L127" s="42">
        <f>ROUND(Second_Semester_Structured_Programming[[#This Row],[Ass &amp; Final]],0)</f>
        <v>21</v>
      </c>
      <c r="M127" s="42">
        <f t="shared" si="12"/>
        <v>30</v>
      </c>
      <c r="N127" s="46" t="str">
        <f t="shared" si="13"/>
        <v>F</v>
      </c>
      <c r="O127" s="44" t="str">
        <f t="shared" si="14"/>
        <v>0.00</v>
      </c>
      <c r="P127" s="34" t="str">
        <f t="shared" si="15"/>
        <v>Fail</v>
      </c>
    </row>
    <row r="128" spans="1:16" s="21" customFormat="1" x14ac:dyDescent="0.25">
      <c r="A128" s="6" t="s">
        <v>16</v>
      </c>
      <c r="B128" s="225" t="s">
        <v>31</v>
      </c>
      <c r="C128" s="221"/>
      <c r="D128" s="221"/>
      <c r="E128" s="221"/>
      <c r="F128" s="221"/>
      <c r="G128" s="226"/>
      <c r="H128" s="220"/>
      <c r="I128" s="221"/>
      <c r="J128" s="221"/>
      <c r="K128" s="221"/>
      <c r="L128" s="222"/>
      <c r="M128" s="222"/>
      <c r="N128" s="223"/>
      <c r="O128" s="224"/>
      <c r="P128" s="219"/>
    </row>
    <row r="129" spans="1:20" x14ac:dyDescent="0.25">
      <c r="A129" s="1" t="s">
        <v>17</v>
      </c>
      <c r="B129" s="29" t="s">
        <v>41</v>
      </c>
      <c r="C129" s="28">
        <v>10.666666666666666</v>
      </c>
      <c r="D129" s="28">
        <v>12</v>
      </c>
      <c r="E129" s="28">
        <v>2</v>
      </c>
      <c r="F129" s="28">
        <f>(((SUM(Second_Semester_Structured_Programming[[#This Row],[Quiz 1]:[Quiz 3]]))/SUM($C$63:$E$63))*$F$63)</f>
        <v>8.2222222222222214</v>
      </c>
      <c r="G129" s="27">
        <f>ROUND(Second_Semester_Structured_Programming[[#This Row],[Quiz Average]],0)</f>
        <v>8</v>
      </c>
      <c r="H129" s="31">
        <v>7</v>
      </c>
      <c r="I129" s="28">
        <v>10</v>
      </c>
      <c r="J129" s="28">
        <v>19</v>
      </c>
      <c r="K129" s="28">
        <f>SUM(Second_Semester_Structured_Programming[[#This Row],[Assignment]:[Final]])</f>
        <v>29</v>
      </c>
      <c r="L129" s="42">
        <f>ROUND(Second_Semester_Structured_Programming[[#This Row],[Ass &amp; Final]],0)</f>
        <v>29</v>
      </c>
      <c r="M129" s="42">
        <f t="shared" si="12"/>
        <v>44</v>
      </c>
      <c r="N129" s="46" t="str">
        <f t="shared" si="13"/>
        <v>D</v>
      </c>
      <c r="O129" s="44" t="str">
        <f t="shared" si="14"/>
        <v>2.00</v>
      </c>
      <c r="P129" s="34" t="str">
        <f t="shared" si="15"/>
        <v>Pass</v>
      </c>
    </row>
    <row r="130" spans="1:20" x14ac:dyDescent="0.25">
      <c r="A130" s="1" t="s">
        <v>18</v>
      </c>
      <c r="B130" s="29" t="s">
        <v>42</v>
      </c>
      <c r="C130" s="28">
        <v>11</v>
      </c>
      <c r="D130" s="28">
        <v>7.333333333333333</v>
      </c>
      <c r="E130" s="28">
        <v>3.6666666666666665</v>
      </c>
      <c r="F130" s="28">
        <f>(((SUM(Second_Semester_Structured_Programming[[#This Row],[Quiz 1]:[Quiz 3]]))/SUM($C$63:$E$63))*$F$63)</f>
        <v>7.333333333333333</v>
      </c>
      <c r="G130" s="27">
        <f>ROUND(Second_Semester_Structured_Programming[[#This Row],[Quiz Average]],0)</f>
        <v>7</v>
      </c>
      <c r="H130" s="31">
        <v>3</v>
      </c>
      <c r="I130" s="28">
        <v>23.5</v>
      </c>
      <c r="J130" s="28">
        <v>19</v>
      </c>
      <c r="K130" s="28">
        <f>SUM(Second_Semester_Structured_Programming[[#This Row],[Assignment]:[Final]])</f>
        <v>42.5</v>
      </c>
      <c r="L130" s="42">
        <f>ROUND(Second_Semester_Structured_Programming[[#This Row],[Ass &amp; Final]],0)</f>
        <v>43</v>
      </c>
      <c r="M130" s="42">
        <f t="shared" si="12"/>
        <v>53</v>
      </c>
      <c r="N130" s="46" t="str">
        <f t="shared" si="13"/>
        <v>C+</v>
      </c>
      <c r="O130" s="44" t="str">
        <f t="shared" si="14"/>
        <v>2.50</v>
      </c>
      <c r="P130" s="34" t="str">
        <f t="shared" si="15"/>
        <v>Average</v>
      </c>
    </row>
    <row r="131" spans="1:20" x14ac:dyDescent="0.25">
      <c r="A131" s="1" t="s">
        <v>19</v>
      </c>
      <c r="B131" s="29" t="s">
        <v>43</v>
      </c>
      <c r="C131" s="28">
        <v>4.666666666666667</v>
      </c>
      <c r="D131" s="28">
        <v>11</v>
      </c>
      <c r="E131" s="28">
        <v>10</v>
      </c>
      <c r="F131" s="28">
        <f>(((SUM(Second_Semester_Structured_Programming[[#This Row],[Quiz 1]:[Quiz 3]]))/SUM($C$63:$E$63))*$F$63)</f>
        <v>8.5555555555555571</v>
      </c>
      <c r="G131" s="27">
        <f>ROUND(Second_Semester_Structured_Programming[[#This Row],[Quiz Average]],0)</f>
        <v>9</v>
      </c>
      <c r="H131" s="31">
        <v>9</v>
      </c>
      <c r="I131" s="28">
        <v>9</v>
      </c>
      <c r="J131" s="28">
        <v>38.5</v>
      </c>
      <c r="K131" s="28">
        <f>SUM(Second_Semester_Structured_Programming[[#This Row],[Assignment]:[Final]])</f>
        <v>47.5</v>
      </c>
      <c r="L131" s="42">
        <f>ROUND(Second_Semester_Structured_Programming[[#This Row],[Ass &amp; Final]],0)</f>
        <v>48</v>
      </c>
      <c r="M131" s="42">
        <f t="shared" si="12"/>
        <v>66</v>
      </c>
      <c r="N131" s="46" t="str">
        <f t="shared" si="13"/>
        <v>B+</v>
      </c>
      <c r="O131" s="44" t="str">
        <f t="shared" si="14"/>
        <v>3.25</v>
      </c>
      <c r="P131" s="34" t="str">
        <f t="shared" si="15"/>
        <v>Good</v>
      </c>
    </row>
    <row r="132" spans="1:20" x14ac:dyDescent="0.25">
      <c r="A132" s="1" t="s">
        <v>23</v>
      </c>
      <c r="B132" s="29" t="s">
        <v>44</v>
      </c>
      <c r="C132" s="28">
        <v>1</v>
      </c>
      <c r="D132" s="28">
        <v>12.666666666666666</v>
      </c>
      <c r="E132" s="28">
        <v>14.333333333333334</v>
      </c>
      <c r="F132" s="28">
        <f>(((SUM(Second_Semester_Structured_Programming[[#This Row],[Quiz 1]:[Quiz 3]]))/SUM($C$63:$E$63))*$F$63)</f>
        <v>9.3333333333333339</v>
      </c>
      <c r="G132" s="27">
        <f>ROUND(Second_Semester_Structured_Programming[[#This Row],[Quiz Average]],0)</f>
        <v>9</v>
      </c>
      <c r="H132" s="31">
        <v>6</v>
      </c>
      <c r="I132" s="28">
        <v>12</v>
      </c>
      <c r="J132" s="28">
        <v>13</v>
      </c>
      <c r="K132" s="28">
        <f>SUM(Second_Semester_Structured_Programming[[#This Row],[Assignment]:[Final]])</f>
        <v>25</v>
      </c>
      <c r="L132" s="42">
        <f>ROUND(Second_Semester_Structured_Programming[[#This Row],[Ass &amp; Final]],0)</f>
        <v>25</v>
      </c>
      <c r="M132" s="42">
        <f t="shared" si="12"/>
        <v>40</v>
      </c>
      <c r="N132" s="46" t="str">
        <f t="shared" si="13"/>
        <v>D</v>
      </c>
      <c r="O132" s="44" t="str">
        <f t="shared" si="14"/>
        <v>2.00</v>
      </c>
      <c r="P132" s="34" t="str">
        <f t="shared" si="15"/>
        <v>Pass</v>
      </c>
    </row>
    <row r="133" spans="1:20" x14ac:dyDescent="0.25">
      <c r="A133" s="1" t="s">
        <v>24</v>
      </c>
      <c r="B133" s="29" t="s">
        <v>45</v>
      </c>
      <c r="C133" s="28">
        <v>10.333333333333334</v>
      </c>
      <c r="D133" s="28">
        <v>6.666666666666667</v>
      </c>
      <c r="E133" s="28">
        <v>13.666666666666666</v>
      </c>
      <c r="F133" s="28">
        <f>(((SUM(Second_Semester_Structured_Programming[[#This Row],[Quiz 1]:[Quiz 3]]))/SUM($C$63:$E$63))*$F$63)</f>
        <v>10.222222222222221</v>
      </c>
      <c r="G133" s="27">
        <f>ROUND(Second_Semester_Structured_Programming[[#This Row],[Quiz Average]],0)</f>
        <v>10</v>
      </c>
      <c r="H133" s="31">
        <v>8</v>
      </c>
      <c r="I133" s="28">
        <v>15.5</v>
      </c>
      <c r="J133" s="28">
        <v>19.5</v>
      </c>
      <c r="K133" s="28">
        <f>SUM(Second_Semester_Structured_Programming[[#This Row],[Assignment]:[Final]])</f>
        <v>35</v>
      </c>
      <c r="L133" s="42">
        <f>ROUND(Second_Semester_Structured_Programming[[#This Row],[Ass &amp; Final]],0)</f>
        <v>35</v>
      </c>
      <c r="M133" s="42">
        <f t="shared" si="12"/>
        <v>53</v>
      </c>
      <c r="N133" s="46" t="str">
        <f t="shared" si="13"/>
        <v>C+</v>
      </c>
      <c r="O133" s="44" t="str">
        <f t="shared" si="14"/>
        <v>2.50</v>
      </c>
      <c r="P133" s="34" t="str">
        <f t="shared" si="15"/>
        <v>Average</v>
      </c>
    </row>
    <row r="134" spans="1:20" x14ac:dyDescent="0.25">
      <c r="A134" s="1" t="s">
        <v>25</v>
      </c>
      <c r="B134" s="29" t="s">
        <v>46</v>
      </c>
      <c r="C134" s="28">
        <v>15</v>
      </c>
      <c r="D134" s="28">
        <v>4.333333333333333</v>
      </c>
      <c r="E134" s="28">
        <v>9</v>
      </c>
      <c r="F134" s="28">
        <f>(((SUM(Second_Semester_Structured_Programming[[#This Row],[Quiz 1]:[Quiz 3]]))/SUM($C$63:$E$63))*$F$63)</f>
        <v>9.4444444444444446</v>
      </c>
      <c r="G134" s="27">
        <f>ROUND(Second_Semester_Structured_Programming[[#This Row],[Quiz Average]],0)</f>
        <v>9</v>
      </c>
      <c r="H134" s="31">
        <v>7</v>
      </c>
      <c r="I134" s="28">
        <v>5.5</v>
      </c>
      <c r="J134" s="28">
        <v>19</v>
      </c>
      <c r="K134" s="28">
        <f>SUM(Second_Semester_Structured_Programming[[#This Row],[Assignment]:[Final]])</f>
        <v>24.5</v>
      </c>
      <c r="L134" s="42">
        <f>ROUND(Second_Semester_Structured_Programming[[#This Row],[Ass &amp; Final]],0)</f>
        <v>25</v>
      </c>
      <c r="M134" s="42">
        <f t="shared" si="12"/>
        <v>41</v>
      </c>
      <c r="N134" s="46" t="str">
        <f t="shared" si="13"/>
        <v>D</v>
      </c>
      <c r="O134" s="44" t="str">
        <f t="shared" si="14"/>
        <v>2.00</v>
      </c>
      <c r="P134" s="34" t="str">
        <f t="shared" si="15"/>
        <v>Pass</v>
      </c>
    </row>
    <row r="135" spans="1:20" x14ac:dyDescent="0.25">
      <c r="A135" s="1" t="s">
        <v>26</v>
      </c>
      <c r="B135" s="29" t="s">
        <v>47</v>
      </c>
      <c r="C135" s="28">
        <v>3.6666666666666665</v>
      </c>
      <c r="D135" s="28">
        <v>6.333333333333333</v>
      </c>
      <c r="E135" s="28">
        <v>10.666666666666666</v>
      </c>
      <c r="F135" s="28">
        <f>(((SUM(Second_Semester_Structured_Programming[[#This Row],[Quiz 1]:[Quiz 3]]))/SUM($C$63:$E$63))*$F$63)</f>
        <v>6.8888888888888884</v>
      </c>
      <c r="G135" s="27">
        <f>ROUND(Second_Semester_Structured_Programming[[#This Row],[Quiz Average]],0)</f>
        <v>7</v>
      </c>
      <c r="H135" s="31">
        <v>2</v>
      </c>
      <c r="I135" s="28">
        <v>27</v>
      </c>
      <c r="J135" s="28">
        <v>37.5</v>
      </c>
      <c r="K135" s="28">
        <f>SUM(Second_Semester_Structured_Programming[[#This Row],[Assignment]:[Final]])</f>
        <v>64.5</v>
      </c>
      <c r="L135" s="42">
        <f>ROUND(Second_Semester_Structured_Programming[[#This Row],[Ass &amp; Final]],0)</f>
        <v>65</v>
      </c>
      <c r="M135" s="42">
        <f t="shared" si="12"/>
        <v>74</v>
      </c>
      <c r="N135" s="46" t="str">
        <f t="shared" si="13"/>
        <v>A-</v>
      </c>
      <c r="O135" s="44" t="str">
        <f t="shared" si="14"/>
        <v>3.50</v>
      </c>
      <c r="P135" s="34" t="str">
        <f t="shared" si="15"/>
        <v>Very Good</v>
      </c>
    </row>
    <row r="136" spans="1:20" x14ac:dyDescent="0.25">
      <c r="A136" s="1" t="s">
        <v>50</v>
      </c>
      <c r="B136" s="29" t="s">
        <v>51</v>
      </c>
      <c r="C136" s="28">
        <v>8.3333333333333339</v>
      </c>
      <c r="D136" s="28">
        <v>12</v>
      </c>
      <c r="E136" s="28">
        <v>1</v>
      </c>
      <c r="F136" s="28">
        <f>(((SUM(Second_Semester_Structured_Programming[[#This Row],[Quiz 1]:[Quiz 3]]))/SUM($C$63:$E$63))*$F$63)</f>
        <v>7.1111111111111125</v>
      </c>
      <c r="G136" s="27">
        <f>ROUND(Second_Semester_Structured_Programming[[#This Row],[Quiz Average]],0)</f>
        <v>7</v>
      </c>
      <c r="H136" s="31">
        <v>6</v>
      </c>
      <c r="I136" s="28">
        <v>23.5</v>
      </c>
      <c r="J136" s="28">
        <v>25.5</v>
      </c>
      <c r="K136" s="28">
        <f>SUM(Second_Semester_Structured_Programming[[#This Row],[Assignment]:[Final]])</f>
        <v>49</v>
      </c>
      <c r="L136" s="42">
        <f>ROUND(Second_Semester_Structured_Programming[[#This Row],[Ass &amp; Final]],0)</f>
        <v>49</v>
      </c>
      <c r="M136" s="42">
        <f>SUM(G136,H136,L136)</f>
        <v>62</v>
      </c>
      <c r="N136" s="46" t="str">
        <f t="shared" si="13"/>
        <v>B</v>
      </c>
      <c r="O136" s="44" t="str">
        <f t="shared" si="14"/>
        <v>3.00</v>
      </c>
      <c r="P136" s="34" t="str">
        <f t="shared" si="15"/>
        <v>Satisfactory</v>
      </c>
    </row>
    <row r="137" spans="1:20" x14ac:dyDescent="0.25">
      <c r="A137" s="1" t="s">
        <v>53</v>
      </c>
      <c r="B137" s="29" t="s">
        <v>54</v>
      </c>
      <c r="C137" s="28">
        <v>1</v>
      </c>
      <c r="D137" s="28">
        <v>5</v>
      </c>
      <c r="E137" s="28">
        <v>9</v>
      </c>
      <c r="F137" s="28">
        <f>(((SUM(Second_Semester_Structured_Programming[[#This Row],[Quiz 1]:[Quiz 3]]))/SUM($C$63:$E$63))*$F$63)</f>
        <v>5</v>
      </c>
      <c r="G137" s="27">
        <f>ROUND(Second_Semester_Structured_Programming[[#This Row],[Quiz Average]],0)</f>
        <v>5</v>
      </c>
      <c r="H137" s="31">
        <v>8</v>
      </c>
      <c r="I137" s="28">
        <v>33</v>
      </c>
      <c r="J137" s="28">
        <v>30.5</v>
      </c>
      <c r="K137" s="28">
        <f>SUM(Second_Semester_Structured_Programming[[#This Row],[Assignment]:[Final]])</f>
        <v>63.5</v>
      </c>
      <c r="L137" s="42">
        <f>ROUND(Second_Semester_Structured_Programming[[#This Row],[Ass &amp; Final]],0)</f>
        <v>64</v>
      </c>
      <c r="M137" s="42">
        <f t="shared" si="12"/>
        <v>77</v>
      </c>
      <c r="N137" s="46" t="str">
        <f t="shared" si="13"/>
        <v>A</v>
      </c>
      <c r="O137" s="44" t="str">
        <f t="shared" si="14"/>
        <v>3.75</v>
      </c>
      <c r="P137" s="34" t="str">
        <f t="shared" si="15"/>
        <v>Excellent</v>
      </c>
    </row>
    <row r="138" spans="1:20" ht="15.75" thickBot="1" x14ac:dyDescent="0.3">
      <c r="A138" s="35" t="s">
        <v>60</v>
      </c>
      <c r="B138" s="36" t="s">
        <v>61</v>
      </c>
      <c r="C138" s="37">
        <v>13</v>
      </c>
      <c r="D138" s="37">
        <v>13</v>
      </c>
      <c r="E138" s="37">
        <v>7.666666666666667</v>
      </c>
      <c r="F138" s="37">
        <f>(((SUM(Second_Semester_Structured_Programming[[#This Row],[Quiz 1]:[Quiz 3]]))/SUM($C$63:$E$63))*$F$63)</f>
        <v>11.222222222222221</v>
      </c>
      <c r="G138" s="38">
        <f>ROUND(Second_Semester_Structured_Programming[[#This Row],[Quiz Average]],0)</f>
        <v>11</v>
      </c>
      <c r="H138" s="39">
        <v>3</v>
      </c>
      <c r="I138" s="37">
        <v>2</v>
      </c>
      <c r="J138" s="37">
        <v>20</v>
      </c>
      <c r="K138" s="37">
        <f>SUM(Second_Semester_Structured_Programming[[#This Row],[Assignment]:[Final]])</f>
        <v>22</v>
      </c>
      <c r="L138" s="43">
        <f>ROUND(Second_Semester_Structured_Programming[[#This Row],[Ass &amp; Final]],0)</f>
        <v>22</v>
      </c>
      <c r="M138" s="76">
        <f t="shared" si="12"/>
        <v>36</v>
      </c>
      <c r="N138" s="47" t="str">
        <f t="shared" si="13"/>
        <v>F</v>
      </c>
      <c r="O138" s="45" t="str">
        <f t="shared" si="14"/>
        <v>0.00</v>
      </c>
      <c r="P138" s="41" t="str">
        <f t="shared" si="15"/>
        <v>Fail</v>
      </c>
    </row>
    <row r="139" spans="1:20" x14ac:dyDescent="0.25">
      <c r="A139" s="68"/>
      <c r="B139" s="68"/>
      <c r="C139" s="30"/>
      <c r="D139" s="30"/>
      <c r="E139" s="30"/>
      <c r="F139" s="30"/>
      <c r="G139" s="69"/>
      <c r="H139" s="71"/>
      <c r="I139" s="71"/>
      <c r="J139" s="71"/>
      <c r="K139" s="69"/>
      <c r="L139" s="69"/>
      <c r="M139" s="30"/>
      <c r="N139" s="30"/>
      <c r="O139" s="30"/>
      <c r="P139" s="70"/>
      <c r="Q139" s="70"/>
      <c r="R139" s="30"/>
      <c r="S139" s="30"/>
      <c r="T139" s="30"/>
    </row>
    <row r="140" spans="1:20" x14ac:dyDescent="0.25">
      <c r="A140" s="68"/>
      <c r="B140" s="68"/>
      <c r="C140" s="30"/>
      <c r="D140" s="30"/>
      <c r="E140" s="30"/>
      <c r="F140" s="30"/>
      <c r="G140" s="69"/>
      <c r="H140" s="71"/>
      <c r="I140" s="71"/>
      <c r="J140" s="71"/>
      <c r="K140" s="69"/>
      <c r="L140" s="69"/>
      <c r="M140" s="30"/>
      <c r="N140" s="30"/>
      <c r="O140" s="30"/>
      <c r="P140" s="70"/>
      <c r="Q140" s="70"/>
      <c r="R140" s="30"/>
      <c r="S140" s="30"/>
      <c r="T140" s="30"/>
    </row>
    <row r="141" spans="1:20" x14ac:dyDescent="0.25">
      <c r="A141" s="68"/>
      <c r="B141" s="68"/>
      <c r="C141" s="30"/>
      <c r="D141" s="30"/>
      <c r="E141" s="30"/>
      <c r="F141" s="30"/>
      <c r="G141" s="69"/>
      <c r="H141" s="71"/>
      <c r="I141" s="71"/>
      <c r="J141" s="71"/>
      <c r="K141" s="69"/>
      <c r="L141" s="69"/>
      <c r="M141" s="30"/>
      <c r="N141" s="30"/>
      <c r="O141" s="30"/>
      <c r="P141" s="70"/>
      <c r="Q141" s="70"/>
      <c r="R141" s="30"/>
      <c r="S141" s="30"/>
      <c r="T141" s="30"/>
    </row>
    <row r="142" spans="1:20" x14ac:dyDescent="0.25">
      <c r="A142" s="68"/>
      <c r="B142" s="68"/>
      <c r="C142" s="30"/>
      <c r="D142" s="30"/>
      <c r="E142" s="30"/>
      <c r="F142" s="30"/>
      <c r="G142" s="69"/>
      <c r="H142" s="71"/>
      <c r="I142" s="71"/>
      <c r="J142" s="71"/>
      <c r="K142" s="69"/>
      <c r="L142" s="69"/>
      <c r="M142" s="30"/>
      <c r="N142" s="30"/>
      <c r="O142" s="30"/>
      <c r="P142" s="70"/>
      <c r="Q142" s="70"/>
      <c r="R142" s="30"/>
      <c r="S142" s="30"/>
      <c r="T142" s="30"/>
    </row>
    <row r="143" spans="1:20" x14ac:dyDescent="0.25">
      <c r="A143" s="68"/>
      <c r="B143" s="68"/>
      <c r="C143" s="30"/>
      <c r="D143" s="30"/>
      <c r="E143" s="30"/>
      <c r="F143" s="30"/>
      <c r="G143" s="69"/>
      <c r="H143" s="71"/>
      <c r="I143" s="71"/>
      <c r="J143" s="71"/>
      <c r="K143" s="69"/>
      <c r="L143" s="69"/>
      <c r="M143" s="30"/>
      <c r="N143" s="30"/>
      <c r="O143" s="30"/>
      <c r="P143" s="70"/>
      <c r="Q143" s="70"/>
      <c r="R143" s="30"/>
      <c r="S143" s="30"/>
      <c r="T143" s="30"/>
    </row>
    <row r="144" spans="1:20" x14ac:dyDescent="0.25">
      <c r="A144" s="68"/>
      <c r="B144" s="68"/>
      <c r="C144" s="30"/>
      <c r="D144" s="30"/>
      <c r="E144" s="30"/>
      <c r="F144" s="30"/>
      <c r="G144" s="69"/>
      <c r="H144" s="71"/>
      <c r="I144" s="71"/>
      <c r="J144" s="71"/>
      <c r="K144" s="69"/>
      <c r="L144" s="69"/>
      <c r="M144" s="30"/>
      <c r="N144" s="30"/>
      <c r="O144" s="30"/>
      <c r="P144" s="70"/>
      <c r="Q144" s="70"/>
      <c r="R144" s="30"/>
      <c r="S144" s="30"/>
      <c r="T144" s="30"/>
    </row>
    <row r="154" spans="1:20" ht="27" customHeight="1" x14ac:dyDescent="0.25">
      <c r="A154" s="293" t="s">
        <v>163</v>
      </c>
      <c r="B154" s="293"/>
      <c r="C154" s="56" t="s">
        <v>165</v>
      </c>
      <c r="D154" s="56"/>
      <c r="E154" s="56"/>
      <c r="F154" s="294" t="s">
        <v>337</v>
      </c>
      <c r="G154" s="294"/>
      <c r="H154" s="294"/>
      <c r="I154" s="294"/>
      <c r="J154" s="294"/>
      <c r="K154" s="294"/>
      <c r="L154" s="294"/>
      <c r="M154" s="56"/>
      <c r="N154" s="56"/>
      <c r="O154" s="64" t="s">
        <v>167</v>
      </c>
      <c r="P154" s="65">
        <v>44409</v>
      </c>
      <c r="Q154" s="56"/>
      <c r="R154" s="56"/>
    </row>
    <row r="155" spans="1:20" ht="27" customHeight="1" thickBot="1" x14ac:dyDescent="0.3">
      <c r="A155" s="296" t="s">
        <v>164</v>
      </c>
      <c r="B155" s="296"/>
      <c r="C155" s="63" t="s">
        <v>166</v>
      </c>
      <c r="D155" s="63"/>
      <c r="E155" s="62"/>
      <c r="F155" s="295"/>
      <c r="G155" s="295"/>
      <c r="H155" s="295"/>
      <c r="I155" s="295"/>
      <c r="J155" s="295"/>
      <c r="K155" s="295"/>
      <c r="L155" s="295"/>
      <c r="M155" s="32"/>
      <c r="N155" s="32"/>
      <c r="O155" s="72" t="s">
        <v>168</v>
      </c>
      <c r="P155" s="73">
        <v>0.91666666666666663</v>
      </c>
      <c r="Q155" s="9"/>
      <c r="R155" s="9"/>
    </row>
    <row r="156" spans="1:20" x14ac:dyDescent="0.25">
      <c r="A156" s="58" t="s">
        <v>0</v>
      </c>
      <c r="B156" s="57" t="s">
        <v>20</v>
      </c>
      <c r="C156" s="80" t="s">
        <v>132</v>
      </c>
      <c r="D156" s="80" t="s">
        <v>133</v>
      </c>
      <c r="E156" s="80" t="s">
        <v>134</v>
      </c>
      <c r="F156" s="80" t="s">
        <v>135</v>
      </c>
      <c r="G156" s="27" t="s">
        <v>136</v>
      </c>
      <c r="H156" s="80" t="s">
        <v>139</v>
      </c>
      <c r="I156" s="80" t="s">
        <v>137</v>
      </c>
      <c r="J156" s="80" t="s">
        <v>144</v>
      </c>
      <c r="K156" s="80" t="s">
        <v>169</v>
      </c>
      <c r="L156" s="33" t="s">
        <v>170</v>
      </c>
      <c r="M156" s="75" t="s">
        <v>147</v>
      </c>
      <c r="N156" s="75" t="s">
        <v>148</v>
      </c>
      <c r="O156" s="75" t="s">
        <v>149</v>
      </c>
      <c r="P156" s="77" t="s">
        <v>150</v>
      </c>
      <c r="Q156" s="9"/>
      <c r="R156" s="9"/>
      <c r="S156" s="9"/>
      <c r="T156" s="9"/>
    </row>
    <row r="157" spans="1:20" x14ac:dyDescent="0.25">
      <c r="A157" s="15"/>
      <c r="B157" s="49" t="s">
        <v>142</v>
      </c>
      <c r="C157" s="50">
        <v>15</v>
      </c>
      <c r="D157" s="50">
        <v>15</v>
      </c>
      <c r="E157" s="50">
        <v>15</v>
      </c>
      <c r="F157" s="51">
        <v>15</v>
      </c>
      <c r="G157" s="52">
        <v>15</v>
      </c>
      <c r="H157" s="50">
        <v>10</v>
      </c>
      <c r="I157" s="50">
        <v>35</v>
      </c>
      <c r="J157" s="50">
        <v>40</v>
      </c>
      <c r="K157" s="53">
        <v>75</v>
      </c>
      <c r="L157" s="54">
        <v>75</v>
      </c>
      <c r="M157" s="55">
        <v>100</v>
      </c>
      <c r="N157" s="55" t="s">
        <v>151</v>
      </c>
      <c r="O157" s="54" t="s">
        <v>152</v>
      </c>
      <c r="P157" s="78" t="s">
        <v>153</v>
      </c>
    </row>
    <row r="158" spans="1:20" x14ac:dyDescent="0.25">
      <c r="A158" s="1" t="s">
        <v>57</v>
      </c>
      <c r="B158" s="29" t="s">
        <v>58</v>
      </c>
      <c r="C158" s="28">
        <v>8.6666666666666661</v>
      </c>
      <c r="D158" s="28">
        <v>1.6666666666666667</v>
      </c>
      <c r="E158" s="28">
        <v>12.666666666666666</v>
      </c>
      <c r="F158" s="28">
        <f>(((SUM(Second_Semester_Fundamental_Website_Development[[#This Row],[Quiz 1]:[Quiz 3]]))/SUM($C$63:$E$63))*$F$63)</f>
        <v>7.6666666666666661</v>
      </c>
      <c r="G158" s="27">
        <f>ROUND(Second_Semester_Fundamental_Website_Development[[#This Row],[Quiz Average]],0)</f>
        <v>8</v>
      </c>
      <c r="H158" s="31">
        <v>7</v>
      </c>
      <c r="I158" s="28">
        <v>4</v>
      </c>
      <c r="J158" s="28">
        <v>34</v>
      </c>
      <c r="K158" s="28">
        <f>SUM(Second_Semester_Fundamental_Website_Development[[#This Row],[Assignment]:[Final]])</f>
        <v>38</v>
      </c>
      <c r="L158" s="42">
        <f>ROUND(Second_Semester_Fundamental_Website_Development[[#This Row],[Ass &amp; Final]],0)</f>
        <v>38</v>
      </c>
      <c r="M158" s="42">
        <f>SUM(G158,H158,L158)</f>
        <v>53</v>
      </c>
      <c r="N158" s="46" t="str">
        <f>IF(M158&gt;79,"A+",IF(M158&gt;74,"A",IF(M158&gt;69,"A-",IF(M158&gt;64,"B+",IF(M158&gt;59,"B",IF(M158&gt;54,"B-",IF(M158&gt;49,"C+",IF(M158&gt;44,"C",IF(M158&gt;39,"D",IF(M158&gt;0,"F","N/A"))))))))))</f>
        <v>C+</v>
      </c>
      <c r="O158" s="44" t="str">
        <f>IF(M158&gt;79,"4.00",IF(M158&gt;74,"3.75",IF(M158&gt;69,"3.50",IF(M158&gt;64,"3.25",IF(M158&gt;59,"3.00",IF(M158&gt;54,"2.75",IF(M158&gt;49,"2.50",IF(M158&gt;44,"2.25",IF(M158&gt;39,"2.00",IF(M158&gt;0,"0.00","N/A"))))))))))</f>
        <v>2.50</v>
      </c>
      <c r="P158" s="79" t="str">
        <f>IF(M158&gt;79,"Outstanding",IF(M158&gt;74,"Excellent",IF(M158&gt;69,"Very Good",IF(M158&gt;64,"Good",IF(M158&gt;59,"Satisfactory",IF(M158&gt;54,"Above Average",IF(M158&gt;49,"Average",IF(M158&gt;44,"Bellow Average",IF(M158&gt;39,"Pass",IF(M158&gt;0,"Fail","N/A"))))))))))</f>
        <v>Average</v>
      </c>
    </row>
    <row r="159" spans="1:20" x14ac:dyDescent="0.25">
      <c r="A159" s="1" t="s">
        <v>56</v>
      </c>
      <c r="B159" s="29" t="s">
        <v>59</v>
      </c>
      <c r="C159" s="28">
        <v>7.666666666666667</v>
      </c>
      <c r="D159" s="28">
        <v>2.6666666666666665</v>
      </c>
      <c r="E159" s="28">
        <v>6</v>
      </c>
      <c r="F159" s="28">
        <f>(((SUM(Second_Semester_Fundamental_Website_Development[[#This Row],[Quiz 1]:[Quiz 3]]))/SUM($C$63:$E$63))*$F$63)</f>
        <v>5.4444444444444455</v>
      </c>
      <c r="G159" s="27">
        <f>ROUND(Second_Semester_Fundamental_Website_Development[[#This Row],[Quiz Average]],0)</f>
        <v>5</v>
      </c>
      <c r="H159" s="31">
        <v>5</v>
      </c>
      <c r="I159" s="28">
        <v>29</v>
      </c>
      <c r="J159" s="28">
        <v>25</v>
      </c>
      <c r="K159" s="28">
        <f>SUM(Second_Semester_Fundamental_Website_Development[[#This Row],[Assignment]:[Final]])</f>
        <v>54</v>
      </c>
      <c r="L159" s="42">
        <f>ROUND(Second_Semester_Fundamental_Website_Development[[#This Row],[Ass &amp; Final]],0)</f>
        <v>54</v>
      </c>
      <c r="M159" s="42">
        <f t="shared" ref="M159:M163" si="16">SUM(G159,H159,L159)</f>
        <v>64</v>
      </c>
      <c r="N159" s="46" t="str">
        <f t="shared" ref="N159:N185" si="17">IF(M159&gt;79,"A+",IF(M159&gt;74,"A",IF(M159&gt;69,"A-",IF(M159&gt;64,"B+",IF(M159&gt;59,"B",IF(M159&gt;54,"B-",IF(M159&gt;49,"C+",IF(M159&gt;44,"C",IF(M159&gt;39,"D",IF(M159&gt;0,"F","N/A"))))))))))</f>
        <v>B</v>
      </c>
      <c r="O159" s="44" t="str">
        <f t="shared" ref="O159:O185" si="18">IF(M159&gt;79,"4.00",IF(M159&gt;74,"3.75",IF(M159&gt;69,"3.50",IF(M159&gt;64,"3.25",IF(M159&gt;59,"3.00",IF(M159&gt;54,"2.75",IF(M159&gt;49,"2.50",IF(M159&gt;44,"2.25",IF(M159&gt;39,"2.00",IF(M159&gt;0,"0.00","N/A"))))))))))</f>
        <v>3.00</v>
      </c>
      <c r="P159" s="79" t="str">
        <f t="shared" ref="P159:P185" si="19">IF(M159&gt;79,"Outstanding",IF(M159&gt;74,"Excellent",IF(M159&gt;69,"Very Good",IF(M159&gt;64,"Good",IF(M159&gt;59,"Satisfactory",IF(M159&gt;54,"Above Average",IF(M159&gt;49,"Average",IF(M159&gt;44,"Bellow Average",IF(M159&gt;39,"Pass",IF(M159&gt;0,"Fail","N/A"))))))))))</f>
        <v>Satisfactory</v>
      </c>
    </row>
    <row r="160" spans="1:20" x14ac:dyDescent="0.25">
      <c r="A160" s="1" t="s">
        <v>1</v>
      </c>
      <c r="B160" s="29" t="s">
        <v>27</v>
      </c>
      <c r="C160" s="28">
        <v>9</v>
      </c>
      <c r="D160" s="28">
        <v>10.333333333333334</v>
      </c>
      <c r="E160" s="28">
        <v>6</v>
      </c>
      <c r="F160" s="28">
        <f>(((SUM(Second_Semester_Fundamental_Website_Development[[#This Row],[Quiz 1]:[Quiz 3]]))/SUM($C$63:$E$63))*$F$63)</f>
        <v>8.4444444444444446</v>
      </c>
      <c r="G160" s="27">
        <f>ROUND(Second_Semester_Fundamental_Website_Development[[#This Row],[Quiz Average]],0)</f>
        <v>8</v>
      </c>
      <c r="H160" s="31">
        <v>4</v>
      </c>
      <c r="I160" s="28">
        <v>16</v>
      </c>
      <c r="J160" s="28">
        <v>27</v>
      </c>
      <c r="K160" s="28">
        <f>SUM(Second_Semester_Fundamental_Website_Development[[#This Row],[Assignment]:[Final]])</f>
        <v>43</v>
      </c>
      <c r="L160" s="42">
        <f>ROUND(Second_Semester_Fundamental_Website_Development[[#This Row],[Ass &amp; Final]],0)</f>
        <v>43</v>
      </c>
      <c r="M160" s="42">
        <f t="shared" si="16"/>
        <v>55</v>
      </c>
      <c r="N160" s="46" t="str">
        <f t="shared" si="17"/>
        <v>B-</v>
      </c>
      <c r="O160" s="44" t="str">
        <f t="shared" si="18"/>
        <v>2.75</v>
      </c>
      <c r="P160" s="34" t="str">
        <f t="shared" si="19"/>
        <v>Above Average</v>
      </c>
    </row>
    <row r="161" spans="1:16" x14ac:dyDescent="0.25">
      <c r="A161" s="1" t="s">
        <v>2</v>
      </c>
      <c r="B161" s="29" t="s">
        <v>28</v>
      </c>
      <c r="C161" s="28">
        <v>5.333333333333333</v>
      </c>
      <c r="D161" s="28">
        <v>10.333333333333334</v>
      </c>
      <c r="E161" s="28">
        <v>12.333333333333334</v>
      </c>
      <c r="F161" s="28">
        <f>(((SUM(Second_Semester_Fundamental_Website_Development[[#This Row],[Quiz 1]:[Quiz 3]]))/SUM($C$63:$E$63))*$F$63)</f>
        <v>9.3333333333333339</v>
      </c>
      <c r="G161" s="27">
        <f>ROUND(Second_Semester_Fundamental_Website_Development[[#This Row],[Quiz Average]],0)</f>
        <v>9</v>
      </c>
      <c r="H161" s="31">
        <v>5</v>
      </c>
      <c r="I161" s="28">
        <v>14.5</v>
      </c>
      <c r="J161" s="28">
        <v>22.5</v>
      </c>
      <c r="K161" s="28">
        <f>SUM(Second_Semester_Fundamental_Website_Development[[#This Row],[Assignment]:[Final]])</f>
        <v>37</v>
      </c>
      <c r="L161" s="42">
        <f>ROUND(Second_Semester_Fundamental_Website_Development[[#This Row],[Ass &amp; Final]],0)</f>
        <v>37</v>
      </c>
      <c r="M161" s="42">
        <f t="shared" si="16"/>
        <v>51</v>
      </c>
      <c r="N161" s="46" t="str">
        <f t="shared" si="17"/>
        <v>C+</v>
      </c>
      <c r="O161" s="44" t="str">
        <f t="shared" si="18"/>
        <v>2.50</v>
      </c>
      <c r="P161" s="34" t="str">
        <f t="shared" si="19"/>
        <v>Average</v>
      </c>
    </row>
    <row r="162" spans="1:16" x14ac:dyDescent="0.25">
      <c r="A162" s="1" t="s">
        <v>3</v>
      </c>
      <c r="B162" s="29" t="s">
        <v>29</v>
      </c>
      <c r="C162" s="28">
        <v>2</v>
      </c>
      <c r="D162" s="28">
        <v>14.666666666666666</v>
      </c>
      <c r="E162" s="28">
        <v>2.6666666666666665</v>
      </c>
      <c r="F162" s="28">
        <f>(((SUM(Second_Semester_Fundamental_Website_Development[[#This Row],[Quiz 1]:[Quiz 3]]))/SUM($C$63:$E$63))*$F$63)</f>
        <v>6.4444444444444438</v>
      </c>
      <c r="G162" s="27">
        <f>ROUND(Second_Semester_Fundamental_Website_Development[[#This Row],[Quiz Average]],0)</f>
        <v>6</v>
      </c>
      <c r="H162" s="31">
        <v>10</v>
      </c>
      <c r="I162" s="28">
        <v>29.5</v>
      </c>
      <c r="J162" s="28">
        <v>27</v>
      </c>
      <c r="K162" s="28">
        <f>SUM(Second_Semester_Fundamental_Website_Development[[#This Row],[Assignment]:[Final]])</f>
        <v>56.5</v>
      </c>
      <c r="L162" s="42">
        <f>ROUND(Second_Semester_Fundamental_Website_Development[[#This Row],[Ass &amp; Final]],0)</f>
        <v>57</v>
      </c>
      <c r="M162" s="42">
        <f t="shared" si="16"/>
        <v>73</v>
      </c>
      <c r="N162" s="46" t="str">
        <f t="shared" si="17"/>
        <v>A-</v>
      </c>
      <c r="O162" s="44" t="str">
        <f t="shared" si="18"/>
        <v>3.50</v>
      </c>
      <c r="P162" s="34" t="str">
        <f t="shared" si="19"/>
        <v>Very Good</v>
      </c>
    </row>
    <row r="163" spans="1:16" x14ac:dyDescent="0.25">
      <c r="A163" s="1" t="s">
        <v>4</v>
      </c>
      <c r="B163" s="29" t="s">
        <v>30</v>
      </c>
      <c r="C163" s="28">
        <v>8.3333333333333339</v>
      </c>
      <c r="D163" s="28">
        <v>14.666666666666666</v>
      </c>
      <c r="E163" s="28">
        <v>13.333333333333334</v>
      </c>
      <c r="F163" s="28">
        <f>(((SUM(Second_Semester_Fundamental_Website_Development[[#This Row],[Quiz 1]:[Quiz 3]]))/SUM($C$63:$E$63))*$F$63)</f>
        <v>12.111111111111112</v>
      </c>
      <c r="G163" s="27">
        <f>ROUND(Second_Semester_Fundamental_Website_Development[[#This Row],[Quiz Average]],0)</f>
        <v>12</v>
      </c>
      <c r="H163" s="31">
        <v>3</v>
      </c>
      <c r="I163" s="28">
        <v>11.5</v>
      </c>
      <c r="J163" s="28">
        <v>19</v>
      </c>
      <c r="K163" s="28">
        <f>SUM(Second_Semester_Fundamental_Website_Development[[#This Row],[Assignment]:[Final]])</f>
        <v>30.5</v>
      </c>
      <c r="L163" s="42">
        <f>ROUND(Second_Semester_Fundamental_Website_Development[[#This Row],[Ass &amp; Final]],0)</f>
        <v>31</v>
      </c>
      <c r="M163" s="42">
        <f t="shared" si="16"/>
        <v>46</v>
      </c>
      <c r="N163" s="46" t="str">
        <f t="shared" si="17"/>
        <v>C</v>
      </c>
      <c r="O163" s="44" t="str">
        <f t="shared" si="18"/>
        <v>2.25</v>
      </c>
      <c r="P163" s="34" t="str">
        <f t="shared" si="19"/>
        <v>Bellow Average</v>
      </c>
    </row>
    <row r="164" spans="1:16" x14ac:dyDescent="0.25">
      <c r="A164" s="6" t="s">
        <v>5</v>
      </c>
      <c r="B164" s="225" t="s">
        <v>31</v>
      </c>
      <c r="C164" s="221"/>
      <c r="D164" s="221"/>
      <c r="E164" s="221"/>
      <c r="F164" s="221"/>
      <c r="G164" s="226"/>
      <c r="H164" s="220"/>
      <c r="I164" s="221"/>
      <c r="J164" s="221"/>
      <c r="K164" s="221"/>
      <c r="L164" s="222"/>
      <c r="M164" s="222"/>
      <c r="N164" s="223"/>
      <c r="O164" s="224"/>
      <c r="P164" s="219"/>
    </row>
    <row r="165" spans="1:16" x14ac:dyDescent="0.25">
      <c r="A165" s="1" t="s">
        <v>6</v>
      </c>
      <c r="B165" s="29" t="s">
        <v>32</v>
      </c>
      <c r="C165" s="28">
        <v>10</v>
      </c>
      <c r="D165" s="28">
        <v>15</v>
      </c>
      <c r="E165" s="28">
        <v>8.3333333333333339</v>
      </c>
      <c r="F165" s="28">
        <f>(((SUM(Second_Semester_Fundamental_Website_Development[[#This Row],[Quiz 1]:[Quiz 3]]))/SUM($C$63:$E$63))*$F$63)</f>
        <v>11.111111111111112</v>
      </c>
      <c r="G165" s="27">
        <f>ROUND(Second_Semester_Fundamental_Website_Development[[#This Row],[Quiz Average]],0)</f>
        <v>11</v>
      </c>
      <c r="H165" s="31">
        <v>8</v>
      </c>
      <c r="I165" s="28">
        <v>13</v>
      </c>
      <c r="J165" s="28">
        <v>6.5</v>
      </c>
      <c r="K165" s="28">
        <f>SUM(Second_Semester_Fundamental_Website_Development[[#This Row],[Assignment]:[Final]])</f>
        <v>19.5</v>
      </c>
      <c r="L165" s="42">
        <f>ROUND(Second_Semester_Fundamental_Website_Development[[#This Row],[Ass &amp; Final]],0)</f>
        <v>20</v>
      </c>
      <c r="M165" s="42">
        <f t="shared" ref="M165:M182" si="20">SUM(G165,H165,L165)</f>
        <v>39</v>
      </c>
      <c r="N165" s="46" t="str">
        <f t="shared" si="17"/>
        <v>F</v>
      </c>
      <c r="O165" s="44" t="str">
        <f t="shared" si="18"/>
        <v>0.00</v>
      </c>
      <c r="P165" s="34" t="str">
        <f t="shared" si="19"/>
        <v>Fail</v>
      </c>
    </row>
    <row r="166" spans="1:16" x14ac:dyDescent="0.25">
      <c r="A166" s="1" t="s">
        <v>7</v>
      </c>
      <c r="B166" s="29" t="s">
        <v>33</v>
      </c>
      <c r="C166" s="28">
        <v>11</v>
      </c>
      <c r="D166" s="28">
        <v>6.666666666666667</v>
      </c>
      <c r="E166" s="28">
        <v>10</v>
      </c>
      <c r="F166" s="28">
        <f>(((SUM(Second_Semester_Fundamental_Website_Development[[#This Row],[Quiz 1]:[Quiz 3]]))/SUM($C$63:$E$63))*$F$63)</f>
        <v>9.2222222222222214</v>
      </c>
      <c r="G166" s="27">
        <f>ROUND(Second_Semester_Fundamental_Website_Development[[#This Row],[Quiz Average]],0)</f>
        <v>9</v>
      </c>
      <c r="H166" s="31">
        <v>9</v>
      </c>
      <c r="I166" s="28">
        <v>20</v>
      </c>
      <c r="J166" s="28">
        <v>19.5</v>
      </c>
      <c r="K166" s="28">
        <f>SUM(Second_Semester_Fundamental_Website_Development[[#This Row],[Assignment]:[Final]])</f>
        <v>39.5</v>
      </c>
      <c r="L166" s="42">
        <f>ROUND(Second_Semester_Fundamental_Website_Development[[#This Row],[Ass &amp; Final]],0)</f>
        <v>40</v>
      </c>
      <c r="M166" s="42">
        <f t="shared" si="20"/>
        <v>58</v>
      </c>
      <c r="N166" s="46" t="str">
        <f t="shared" si="17"/>
        <v>B-</v>
      </c>
      <c r="O166" s="44" t="str">
        <f t="shared" si="18"/>
        <v>2.75</v>
      </c>
      <c r="P166" s="34" t="str">
        <f t="shared" si="19"/>
        <v>Above Average</v>
      </c>
    </row>
    <row r="167" spans="1:16" x14ac:dyDescent="0.25">
      <c r="A167" s="1" t="s">
        <v>8</v>
      </c>
      <c r="B167" s="29" t="s">
        <v>34</v>
      </c>
      <c r="C167" s="28">
        <v>15</v>
      </c>
      <c r="D167" s="28">
        <v>15</v>
      </c>
      <c r="E167" s="28">
        <v>6.666666666666667</v>
      </c>
      <c r="F167" s="28">
        <f>(((SUM(Second_Semester_Fundamental_Website_Development[[#This Row],[Quiz 1]:[Quiz 3]]))/SUM($C$63:$E$63))*$F$63)</f>
        <v>12.222222222222221</v>
      </c>
      <c r="G167" s="27">
        <f>ROUND(Second_Semester_Fundamental_Website_Development[[#This Row],[Quiz Average]],0)</f>
        <v>12</v>
      </c>
      <c r="H167" s="31">
        <v>3</v>
      </c>
      <c r="I167" s="28">
        <v>6.5</v>
      </c>
      <c r="J167" s="28">
        <v>38.5</v>
      </c>
      <c r="K167" s="28">
        <f>SUM(Second_Semester_Fundamental_Website_Development[[#This Row],[Assignment]:[Final]])</f>
        <v>45</v>
      </c>
      <c r="L167" s="42">
        <f>ROUND(Second_Semester_Fundamental_Website_Development[[#This Row],[Ass &amp; Final]],0)</f>
        <v>45</v>
      </c>
      <c r="M167" s="42">
        <f t="shared" si="20"/>
        <v>60</v>
      </c>
      <c r="N167" s="46" t="str">
        <f t="shared" si="17"/>
        <v>B</v>
      </c>
      <c r="O167" s="44" t="str">
        <f t="shared" si="18"/>
        <v>3.00</v>
      </c>
      <c r="P167" s="34" t="str">
        <f t="shared" si="19"/>
        <v>Satisfactory</v>
      </c>
    </row>
    <row r="168" spans="1:16" x14ac:dyDescent="0.25">
      <c r="A168" s="1" t="s">
        <v>9</v>
      </c>
      <c r="B168" s="29" t="s">
        <v>35</v>
      </c>
      <c r="C168" s="28">
        <v>11</v>
      </c>
      <c r="D168" s="28">
        <v>7.666666666666667</v>
      </c>
      <c r="E168" s="28">
        <v>14.666666666666666</v>
      </c>
      <c r="F168" s="28">
        <f>(((SUM(Second_Semester_Fundamental_Website_Development[[#This Row],[Quiz 1]:[Quiz 3]]))/SUM($C$63:$E$63))*$F$63)</f>
        <v>11.111111111111112</v>
      </c>
      <c r="G168" s="27">
        <f>ROUND(Second_Semester_Fundamental_Website_Development[[#This Row],[Quiz Average]],0)</f>
        <v>11</v>
      </c>
      <c r="H168" s="31">
        <v>7</v>
      </c>
      <c r="I168" s="28">
        <v>15.5</v>
      </c>
      <c r="J168" s="28">
        <v>1.5</v>
      </c>
      <c r="K168" s="28">
        <f>SUM(Second_Semester_Fundamental_Website_Development[[#This Row],[Assignment]:[Final]])</f>
        <v>17</v>
      </c>
      <c r="L168" s="42">
        <f>ROUND(Second_Semester_Fundamental_Website_Development[[#This Row],[Ass &amp; Final]],0)</f>
        <v>17</v>
      </c>
      <c r="M168" s="42">
        <f t="shared" si="20"/>
        <v>35</v>
      </c>
      <c r="N168" s="46" t="str">
        <f t="shared" si="17"/>
        <v>F</v>
      </c>
      <c r="O168" s="44" t="str">
        <f t="shared" si="18"/>
        <v>0.00</v>
      </c>
      <c r="P168" s="34" t="str">
        <f t="shared" si="19"/>
        <v>Fail</v>
      </c>
    </row>
    <row r="169" spans="1:16" x14ac:dyDescent="0.25">
      <c r="A169" s="1" t="s">
        <v>10</v>
      </c>
      <c r="B169" s="29" t="s">
        <v>36</v>
      </c>
      <c r="C169" s="28">
        <v>14.333333333333334</v>
      </c>
      <c r="D169" s="28">
        <v>1</v>
      </c>
      <c r="E169" s="28">
        <v>11.333333333333334</v>
      </c>
      <c r="F169" s="28">
        <f>(((SUM(Second_Semester_Fundamental_Website_Development[[#This Row],[Quiz 1]:[Quiz 3]]))/SUM($C$63:$E$63))*$F$63)</f>
        <v>8.8888888888888893</v>
      </c>
      <c r="G169" s="27">
        <f>ROUND(Second_Semester_Fundamental_Website_Development[[#This Row],[Quiz Average]],0)</f>
        <v>9</v>
      </c>
      <c r="H169" s="31">
        <v>6</v>
      </c>
      <c r="I169" s="28">
        <v>25.5</v>
      </c>
      <c r="J169" s="28">
        <v>18</v>
      </c>
      <c r="K169" s="28">
        <f>SUM(Second_Semester_Fundamental_Website_Development[[#This Row],[Assignment]:[Final]])</f>
        <v>43.5</v>
      </c>
      <c r="L169" s="42">
        <f>ROUND(Second_Semester_Fundamental_Website_Development[[#This Row],[Ass &amp; Final]],0)</f>
        <v>44</v>
      </c>
      <c r="M169" s="42">
        <f t="shared" si="20"/>
        <v>59</v>
      </c>
      <c r="N169" s="46" t="str">
        <f t="shared" si="17"/>
        <v>B-</v>
      </c>
      <c r="O169" s="44" t="str">
        <f t="shared" si="18"/>
        <v>2.75</v>
      </c>
      <c r="P169" s="34" t="str">
        <f t="shared" si="19"/>
        <v>Above Average</v>
      </c>
    </row>
    <row r="170" spans="1:16" x14ac:dyDescent="0.25">
      <c r="A170" s="6" t="s">
        <v>11</v>
      </c>
      <c r="B170" s="225" t="s">
        <v>31</v>
      </c>
      <c r="C170" s="221"/>
      <c r="D170" s="221"/>
      <c r="E170" s="221"/>
      <c r="F170" s="221"/>
      <c r="G170" s="226"/>
      <c r="H170" s="220"/>
      <c r="I170" s="221"/>
      <c r="J170" s="221"/>
      <c r="K170" s="221"/>
      <c r="L170" s="222"/>
      <c r="M170" s="222"/>
      <c r="N170" s="223"/>
      <c r="O170" s="224"/>
      <c r="P170" s="219"/>
    </row>
    <row r="171" spans="1:16" x14ac:dyDescent="0.25">
      <c r="A171" s="1" t="s">
        <v>12</v>
      </c>
      <c r="B171" s="29" t="s">
        <v>37</v>
      </c>
      <c r="C171" s="28">
        <v>9</v>
      </c>
      <c r="D171" s="28">
        <v>8</v>
      </c>
      <c r="E171" s="28">
        <v>8.6666666666666661</v>
      </c>
      <c r="F171" s="28">
        <f>(((SUM(Second_Semester_Fundamental_Website_Development[[#This Row],[Quiz 1]:[Quiz 3]]))/SUM($C$63:$E$63))*$F$63)</f>
        <v>8.5555555555555554</v>
      </c>
      <c r="G171" s="27">
        <f>ROUND(Second_Semester_Fundamental_Website_Development[[#This Row],[Quiz Average]],0)</f>
        <v>9</v>
      </c>
      <c r="H171" s="31">
        <v>4</v>
      </c>
      <c r="I171" s="28">
        <v>15.5</v>
      </c>
      <c r="J171" s="28">
        <v>40</v>
      </c>
      <c r="K171" s="28">
        <f>SUM(Second_Semester_Fundamental_Website_Development[[#This Row],[Assignment]:[Final]])</f>
        <v>55.5</v>
      </c>
      <c r="L171" s="42">
        <f>ROUND(Second_Semester_Fundamental_Website_Development[[#This Row],[Ass &amp; Final]],0)</f>
        <v>56</v>
      </c>
      <c r="M171" s="42">
        <f t="shared" si="20"/>
        <v>69</v>
      </c>
      <c r="N171" s="46" t="str">
        <f t="shared" si="17"/>
        <v>B+</v>
      </c>
      <c r="O171" s="44" t="str">
        <f t="shared" si="18"/>
        <v>3.25</v>
      </c>
      <c r="P171" s="34" t="str">
        <f t="shared" si="19"/>
        <v>Good</v>
      </c>
    </row>
    <row r="172" spans="1:16" x14ac:dyDescent="0.25">
      <c r="A172" s="1" t="s">
        <v>13</v>
      </c>
      <c r="B172" s="29" t="s">
        <v>38</v>
      </c>
      <c r="C172" s="28">
        <v>8.3333333333333339</v>
      </c>
      <c r="D172" s="28">
        <v>6.333333333333333</v>
      </c>
      <c r="E172" s="28">
        <v>3</v>
      </c>
      <c r="F172" s="28">
        <f>(((SUM(Second_Semester_Fundamental_Website_Development[[#This Row],[Quiz 1]:[Quiz 3]]))/SUM($C$63:$E$63))*$F$63)</f>
        <v>5.8888888888888893</v>
      </c>
      <c r="G172" s="27">
        <f>ROUND(Second_Semester_Fundamental_Website_Development[[#This Row],[Quiz Average]],0)</f>
        <v>6</v>
      </c>
      <c r="H172" s="31">
        <v>9</v>
      </c>
      <c r="I172" s="28">
        <v>15.5</v>
      </c>
      <c r="J172" s="28">
        <v>4.5</v>
      </c>
      <c r="K172" s="28">
        <f>SUM(Second_Semester_Fundamental_Website_Development[[#This Row],[Assignment]:[Final]])</f>
        <v>20</v>
      </c>
      <c r="L172" s="42">
        <f>ROUND(Second_Semester_Fundamental_Website_Development[[#This Row],[Ass &amp; Final]],0)</f>
        <v>20</v>
      </c>
      <c r="M172" s="42">
        <f t="shared" si="20"/>
        <v>35</v>
      </c>
      <c r="N172" s="46" t="str">
        <f t="shared" si="17"/>
        <v>F</v>
      </c>
      <c r="O172" s="44" t="str">
        <f t="shared" si="18"/>
        <v>0.00</v>
      </c>
      <c r="P172" s="34" t="str">
        <f t="shared" si="19"/>
        <v>Fail</v>
      </c>
    </row>
    <row r="173" spans="1:16" x14ac:dyDescent="0.25">
      <c r="A173" s="1" t="s">
        <v>14</v>
      </c>
      <c r="B173" s="29" t="s">
        <v>39</v>
      </c>
      <c r="C173" s="28">
        <v>1.6666666666666667</v>
      </c>
      <c r="D173" s="28">
        <v>10.666666666666666</v>
      </c>
      <c r="E173" s="28">
        <v>12</v>
      </c>
      <c r="F173" s="28">
        <f>(((SUM(Second_Semester_Fundamental_Website_Development[[#This Row],[Quiz 1]:[Quiz 3]]))/SUM($C$63:$E$63))*$F$63)</f>
        <v>8.1111111111111107</v>
      </c>
      <c r="G173" s="27">
        <f>ROUND(Second_Semester_Fundamental_Website_Development[[#This Row],[Quiz Average]],0)</f>
        <v>8</v>
      </c>
      <c r="H173" s="31">
        <v>3</v>
      </c>
      <c r="I173" s="28">
        <v>25</v>
      </c>
      <c r="J173" s="28">
        <v>24.5</v>
      </c>
      <c r="K173" s="28">
        <f>SUM(Second_Semester_Fundamental_Website_Development[[#This Row],[Assignment]:[Final]])</f>
        <v>49.5</v>
      </c>
      <c r="L173" s="42">
        <f>ROUND(Second_Semester_Fundamental_Website_Development[[#This Row],[Ass &amp; Final]],0)</f>
        <v>50</v>
      </c>
      <c r="M173" s="42">
        <f t="shared" si="20"/>
        <v>61</v>
      </c>
      <c r="N173" s="46" t="str">
        <f t="shared" si="17"/>
        <v>B</v>
      </c>
      <c r="O173" s="44" t="str">
        <f t="shared" si="18"/>
        <v>3.00</v>
      </c>
      <c r="P173" s="34" t="str">
        <f t="shared" si="19"/>
        <v>Satisfactory</v>
      </c>
    </row>
    <row r="174" spans="1:16" x14ac:dyDescent="0.25">
      <c r="A174" s="1" t="s">
        <v>15</v>
      </c>
      <c r="B174" s="29" t="s">
        <v>40</v>
      </c>
      <c r="C174" s="28">
        <v>6</v>
      </c>
      <c r="D174" s="28">
        <v>12.333333333333334</v>
      </c>
      <c r="E174" s="28">
        <v>10</v>
      </c>
      <c r="F174" s="28">
        <f>(((SUM(Second_Semester_Fundamental_Website_Development[[#This Row],[Quiz 1]:[Quiz 3]]))/SUM($C$63:$E$63))*$F$63)</f>
        <v>9.4444444444444446</v>
      </c>
      <c r="G174" s="27">
        <f>ROUND(Second_Semester_Fundamental_Website_Development[[#This Row],[Quiz Average]],0)</f>
        <v>9</v>
      </c>
      <c r="H174" s="31">
        <v>2</v>
      </c>
      <c r="I174" s="28">
        <v>24.5</v>
      </c>
      <c r="J174" s="28">
        <v>29.5</v>
      </c>
      <c r="K174" s="28">
        <f>SUM(Second_Semester_Fundamental_Website_Development[[#This Row],[Assignment]:[Final]])</f>
        <v>54</v>
      </c>
      <c r="L174" s="42">
        <f>ROUND(Second_Semester_Fundamental_Website_Development[[#This Row],[Ass &amp; Final]],0)</f>
        <v>54</v>
      </c>
      <c r="M174" s="42">
        <f t="shared" si="20"/>
        <v>65</v>
      </c>
      <c r="N174" s="46" t="str">
        <f t="shared" si="17"/>
        <v>B+</v>
      </c>
      <c r="O174" s="44" t="str">
        <f t="shared" si="18"/>
        <v>3.25</v>
      </c>
      <c r="P174" s="34" t="str">
        <f t="shared" si="19"/>
        <v>Good</v>
      </c>
    </row>
    <row r="175" spans="1:16" x14ac:dyDescent="0.25">
      <c r="A175" s="6" t="s">
        <v>16</v>
      </c>
      <c r="B175" s="225" t="s">
        <v>31</v>
      </c>
      <c r="C175" s="221"/>
      <c r="D175" s="221"/>
      <c r="E175" s="221"/>
      <c r="F175" s="221"/>
      <c r="G175" s="226"/>
      <c r="H175" s="220"/>
      <c r="I175" s="221"/>
      <c r="J175" s="221"/>
      <c r="K175" s="221"/>
      <c r="L175" s="222"/>
      <c r="M175" s="222"/>
      <c r="N175" s="223"/>
      <c r="O175" s="224"/>
      <c r="P175" s="219"/>
    </row>
    <row r="176" spans="1:16" x14ac:dyDescent="0.25">
      <c r="A176" s="1" t="s">
        <v>17</v>
      </c>
      <c r="B176" s="29" t="s">
        <v>41</v>
      </c>
      <c r="C176" s="28">
        <v>3.6666666666666665</v>
      </c>
      <c r="D176" s="28">
        <v>4.333333333333333</v>
      </c>
      <c r="E176" s="28">
        <v>4.333333333333333</v>
      </c>
      <c r="F176" s="28">
        <f>(((SUM(Second_Semester_Fundamental_Website_Development[[#This Row],[Quiz 1]:[Quiz 3]]))/SUM($C$63:$E$63))*$F$63)</f>
        <v>4.1111111111111107</v>
      </c>
      <c r="G176" s="27">
        <f>ROUND(Second_Semester_Fundamental_Website_Development[[#This Row],[Quiz Average]],0)</f>
        <v>4</v>
      </c>
      <c r="H176" s="31">
        <v>8</v>
      </c>
      <c r="I176" s="28">
        <v>6.5</v>
      </c>
      <c r="J176" s="28">
        <v>37.5</v>
      </c>
      <c r="K176" s="28">
        <f>SUM(Second_Semester_Fundamental_Website_Development[[#This Row],[Assignment]:[Final]])</f>
        <v>44</v>
      </c>
      <c r="L176" s="42">
        <f>ROUND(Second_Semester_Fundamental_Website_Development[[#This Row],[Ass &amp; Final]],0)</f>
        <v>44</v>
      </c>
      <c r="M176" s="42">
        <f t="shared" si="20"/>
        <v>56</v>
      </c>
      <c r="N176" s="46" t="str">
        <f t="shared" si="17"/>
        <v>B-</v>
      </c>
      <c r="O176" s="44" t="str">
        <f t="shared" si="18"/>
        <v>2.75</v>
      </c>
      <c r="P176" s="34" t="str">
        <f t="shared" si="19"/>
        <v>Above Average</v>
      </c>
    </row>
    <row r="177" spans="1:20" x14ac:dyDescent="0.25">
      <c r="A177" s="1" t="s">
        <v>18</v>
      </c>
      <c r="B177" s="29" t="s">
        <v>42</v>
      </c>
      <c r="C177" s="28">
        <v>2.6666666666666665</v>
      </c>
      <c r="D177" s="28">
        <v>2.6666666666666665</v>
      </c>
      <c r="E177" s="28">
        <v>13.333333333333334</v>
      </c>
      <c r="F177" s="28">
        <f>(((SUM(Second_Semester_Fundamental_Website_Development[[#This Row],[Quiz 1]:[Quiz 3]]))/SUM($C$63:$E$63))*$F$63)</f>
        <v>6.2222222222222232</v>
      </c>
      <c r="G177" s="27">
        <f>ROUND(Second_Semester_Fundamental_Website_Development[[#This Row],[Quiz Average]],0)</f>
        <v>6</v>
      </c>
      <c r="H177" s="31">
        <v>7</v>
      </c>
      <c r="I177" s="28">
        <v>3.5</v>
      </c>
      <c r="J177" s="28">
        <v>9.5</v>
      </c>
      <c r="K177" s="28">
        <f>SUM(Second_Semester_Fundamental_Website_Development[[#This Row],[Assignment]:[Final]])</f>
        <v>13</v>
      </c>
      <c r="L177" s="42">
        <f>ROUND(Second_Semester_Fundamental_Website_Development[[#This Row],[Ass &amp; Final]],0)</f>
        <v>13</v>
      </c>
      <c r="M177" s="42">
        <f t="shared" si="20"/>
        <v>26</v>
      </c>
      <c r="N177" s="46" t="str">
        <f t="shared" si="17"/>
        <v>F</v>
      </c>
      <c r="O177" s="44" t="str">
        <f t="shared" si="18"/>
        <v>0.00</v>
      </c>
      <c r="P177" s="34" t="str">
        <f t="shared" si="19"/>
        <v>Fail</v>
      </c>
    </row>
    <row r="178" spans="1:20" x14ac:dyDescent="0.25">
      <c r="A178" s="1" t="s">
        <v>19</v>
      </c>
      <c r="B178" s="29" t="s">
        <v>43</v>
      </c>
      <c r="C178" s="28">
        <v>9.6666666666666661</v>
      </c>
      <c r="D178" s="28">
        <v>14.333333333333334</v>
      </c>
      <c r="E178" s="28">
        <v>2.3333333333333335</v>
      </c>
      <c r="F178" s="28">
        <f>(((SUM(Second_Semester_Fundamental_Website_Development[[#This Row],[Quiz 1]:[Quiz 3]]))/SUM($C$63:$E$63))*$F$63)</f>
        <v>8.7777777777777768</v>
      </c>
      <c r="G178" s="27">
        <f>ROUND(Second_Semester_Fundamental_Website_Development[[#This Row],[Quiz Average]],0)</f>
        <v>9</v>
      </c>
      <c r="H178" s="31">
        <v>5</v>
      </c>
      <c r="I178" s="28">
        <v>26</v>
      </c>
      <c r="J178" s="28">
        <v>29</v>
      </c>
      <c r="K178" s="28">
        <f>SUM(Second_Semester_Fundamental_Website_Development[[#This Row],[Assignment]:[Final]])</f>
        <v>55</v>
      </c>
      <c r="L178" s="42">
        <f>ROUND(Second_Semester_Fundamental_Website_Development[[#This Row],[Ass &amp; Final]],0)</f>
        <v>55</v>
      </c>
      <c r="M178" s="42">
        <f t="shared" si="20"/>
        <v>69</v>
      </c>
      <c r="N178" s="46" t="str">
        <f t="shared" si="17"/>
        <v>B+</v>
      </c>
      <c r="O178" s="44" t="str">
        <f t="shared" si="18"/>
        <v>3.25</v>
      </c>
      <c r="P178" s="34" t="str">
        <f t="shared" si="19"/>
        <v>Good</v>
      </c>
    </row>
    <row r="179" spans="1:20" x14ac:dyDescent="0.25">
      <c r="A179" s="1" t="s">
        <v>23</v>
      </c>
      <c r="B179" s="29" t="s">
        <v>44</v>
      </c>
      <c r="C179" s="28">
        <v>14.333333333333334</v>
      </c>
      <c r="D179" s="28">
        <v>10</v>
      </c>
      <c r="E179" s="28">
        <v>14</v>
      </c>
      <c r="F179" s="28">
        <f>(((SUM(Second_Semester_Fundamental_Website_Development[[#This Row],[Quiz 1]:[Quiz 3]]))/SUM($C$63:$E$63))*$F$63)</f>
        <v>12.777777777777779</v>
      </c>
      <c r="G179" s="27">
        <f>ROUND(Second_Semester_Fundamental_Website_Development[[#This Row],[Quiz Average]],0)</f>
        <v>13</v>
      </c>
      <c r="H179" s="31">
        <v>4</v>
      </c>
      <c r="I179" s="28">
        <v>24.5</v>
      </c>
      <c r="J179" s="28">
        <v>34.5</v>
      </c>
      <c r="K179" s="28">
        <f>SUM(Second_Semester_Fundamental_Website_Development[[#This Row],[Assignment]:[Final]])</f>
        <v>59</v>
      </c>
      <c r="L179" s="42">
        <f>ROUND(Second_Semester_Fundamental_Website_Development[[#This Row],[Ass &amp; Final]],0)</f>
        <v>59</v>
      </c>
      <c r="M179" s="42">
        <f t="shared" si="20"/>
        <v>76</v>
      </c>
      <c r="N179" s="46" t="str">
        <f t="shared" si="17"/>
        <v>A</v>
      </c>
      <c r="O179" s="44" t="str">
        <f t="shared" si="18"/>
        <v>3.75</v>
      </c>
      <c r="P179" s="34" t="str">
        <f t="shared" si="19"/>
        <v>Excellent</v>
      </c>
    </row>
    <row r="180" spans="1:20" x14ac:dyDescent="0.25">
      <c r="A180" s="1" t="s">
        <v>24</v>
      </c>
      <c r="B180" s="29" t="s">
        <v>45</v>
      </c>
      <c r="C180" s="28">
        <v>5.333333333333333</v>
      </c>
      <c r="D180" s="28">
        <v>1.6666666666666667</v>
      </c>
      <c r="E180" s="28">
        <v>3.3333333333333335</v>
      </c>
      <c r="F180" s="28">
        <f>(((SUM(Second_Semester_Fundamental_Website_Development[[#This Row],[Quiz 1]:[Quiz 3]]))/SUM($C$63:$E$63))*$F$63)</f>
        <v>3.4444444444444446</v>
      </c>
      <c r="G180" s="27">
        <f>ROUND(Second_Semester_Fundamental_Website_Development[[#This Row],[Quiz Average]],0)</f>
        <v>3</v>
      </c>
      <c r="H180" s="31">
        <v>5</v>
      </c>
      <c r="I180" s="28">
        <v>33.5</v>
      </c>
      <c r="J180" s="28">
        <v>17</v>
      </c>
      <c r="K180" s="28">
        <f>SUM(Second_Semester_Fundamental_Website_Development[[#This Row],[Assignment]:[Final]])</f>
        <v>50.5</v>
      </c>
      <c r="L180" s="42">
        <f>ROUND(Second_Semester_Fundamental_Website_Development[[#This Row],[Ass &amp; Final]],0)</f>
        <v>51</v>
      </c>
      <c r="M180" s="42">
        <f t="shared" si="20"/>
        <v>59</v>
      </c>
      <c r="N180" s="46" t="str">
        <f t="shared" si="17"/>
        <v>B-</v>
      </c>
      <c r="O180" s="44" t="str">
        <f t="shared" si="18"/>
        <v>2.75</v>
      </c>
      <c r="P180" s="34" t="str">
        <f t="shared" si="19"/>
        <v>Above Average</v>
      </c>
    </row>
    <row r="181" spans="1:20" x14ac:dyDescent="0.25">
      <c r="A181" s="1" t="s">
        <v>25</v>
      </c>
      <c r="B181" s="29" t="s">
        <v>46</v>
      </c>
      <c r="C181" s="28">
        <v>7.333333333333333</v>
      </c>
      <c r="D181" s="28">
        <v>5.666666666666667</v>
      </c>
      <c r="E181" s="28">
        <v>7</v>
      </c>
      <c r="F181" s="28">
        <f>(((SUM(Second_Semester_Fundamental_Website_Development[[#This Row],[Quiz 1]:[Quiz 3]]))/SUM($C$63:$E$63))*$F$63)</f>
        <v>6.6666666666666661</v>
      </c>
      <c r="G181" s="27">
        <f>ROUND(Second_Semester_Fundamental_Website_Development[[#This Row],[Quiz Average]],0)</f>
        <v>7</v>
      </c>
      <c r="H181" s="31">
        <v>9</v>
      </c>
      <c r="I181" s="28">
        <v>10.5</v>
      </c>
      <c r="J181" s="28">
        <v>1.5</v>
      </c>
      <c r="K181" s="28">
        <f>SUM(Second_Semester_Fundamental_Website_Development[[#This Row],[Assignment]:[Final]])</f>
        <v>12</v>
      </c>
      <c r="L181" s="42">
        <f>ROUND(Second_Semester_Fundamental_Website_Development[[#This Row],[Ass &amp; Final]],0)</f>
        <v>12</v>
      </c>
      <c r="M181" s="42">
        <f t="shared" si="20"/>
        <v>28</v>
      </c>
      <c r="N181" s="46" t="str">
        <f t="shared" si="17"/>
        <v>F</v>
      </c>
      <c r="O181" s="44" t="str">
        <f t="shared" si="18"/>
        <v>0.00</v>
      </c>
      <c r="P181" s="34" t="str">
        <f t="shared" si="19"/>
        <v>Fail</v>
      </c>
    </row>
    <row r="182" spans="1:20" x14ac:dyDescent="0.25">
      <c r="A182" s="1" t="s">
        <v>26</v>
      </c>
      <c r="B182" s="29" t="s">
        <v>47</v>
      </c>
      <c r="C182" s="28">
        <v>12</v>
      </c>
      <c r="D182" s="28">
        <v>7.333333333333333</v>
      </c>
      <c r="E182" s="28">
        <v>5.333333333333333</v>
      </c>
      <c r="F182" s="28">
        <f>(((SUM(Second_Semester_Fundamental_Website_Development[[#This Row],[Quiz 1]:[Quiz 3]]))/SUM($C$63:$E$63))*$F$63)</f>
        <v>8.2222222222222214</v>
      </c>
      <c r="G182" s="27">
        <f>ROUND(Second_Semester_Fundamental_Website_Development[[#This Row],[Quiz Average]],0)</f>
        <v>8</v>
      </c>
      <c r="H182" s="31">
        <v>5</v>
      </c>
      <c r="I182" s="28">
        <v>8</v>
      </c>
      <c r="J182" s="28">
        <v>23.5</v>
      </c>
      <c r="K182" s="28">
        <f>SUM(Second_Semester_Fundamental_Website_Development[[#This Row],[Assignment]:[Final]])</f>
        <v>31.5</v>
      </c>
      <c r="L182" s="42">
        <f>ROUND(Second_Semester_Fundamental_Website_Development[[#This Row],[Ass &amp; Final]],0)</f>
        <v>32</v>
      </c>
      <c r="M182" s="42">
        <f t="shared" si="20"/>
        <v>45</v>
      </c>
      <c r="N182" s="46" t="str">
        <f t="shared" si="17"/>
        <v>C</v>
      </c>
      <c r="O182" s="44" t="str">
        <f t="shared" si="18"/>
        <v>2.25</v>
      </c>
      <c r="P182" s="34" t="str">
        <f t="shared" si="19"/>
        <v>Bellow Average</v>
      </c>
    </row>
    <row r="183" spans="1:20" x14ac:dyDescent="0.25">
      <c r="A183" s="1" t="s">
        <v>50</v>
      </c>
      <c r="B183" s="29" t="s">
        <v>51</v>
      </c>
      <c r="C183" s="28">
        <v>13.666666666666666</v>
      </c>
      <c r="D183" s="28">
        <v>12.666666666666666</v>
      </c>
      <c r="E183" s="28">
        <v>1.6666666666666667</v>
      </c>
      <c r="F183" s="28">
        <f>(((SUM(Second_Semester_Fundamental_Website_Development[[#This Row],[Quiz 1]:[Quiz 3]]))/SUM($C$63:$E$63))*$F$63)</f>
        <v>9.3333333333333339</v>
      </c>
      <c r="G183" s="27">
        <f>ROUND(Second_Semester_Fundamental_Website_Development[[#This Row],[Quiz Average]],0)</f>
        <v>9</v>
      </c>
      <c r="H183" s="31">
        <v>9</v>
      </c>
      <c r="I183" s="28">
        <v>28.5</v>
      </c>
      <c r="J183" s="28">
        <v>22</v>
      </c>
      <c r="K183" s="28">
        <f>SUM(Second_Semester_Fundamental_Website_Development[[#This Row],[Assignment]:[Final]])</f>
        <v>50.5</v>
      </c>
      <c r="L183" s="42">
        <f>ROUND(Second_Semester_Fundamental_Website_Development[[#This Row],[Ass &amp; Final]],0)</f>
        <v>51</v>
      </c>
      <c r="M183" s="42">
        <f>SUM(G183,H183,L183)</f>
        <v>69</v>
      </c>
      <c r="N183" s="46" t="str">
        <f t="shared" si="17"/>
        <v>B+</v>
      </c>
      <c r="O183" s="44" t="str">
        <f t="shared" si="18"/>
        <v>3.25</v>
      </c>
      <c r="P183" s="34" t="str">
        <f t="shared" si="19"/>
        <v>Good</v>
      </c>
    </row>
    <row r="184" spans="1:20" x14ac:dyDescent="0.25">
      <c r="A184" s="1" t="s">
        <v>53</v>
      </c>
      <c r="B184" s="29" t="s">
        <v>54</v>
      </c>
      <c r="C184" s="28">
        <v>8.3333333333333339</v>
      </c>
      <c r="D184" s="28">
        <v>13</v>
      </c>
      <c r="E184" s="28">
        <v>7</v>
      </c>
      <c r="F184" s="28">
        <f>(((SUM(Second_Semester_Fundamental_Website_Development[[#This Row],[Quiz 1]:[Quiz 3]]))/SUM($C$63:$E$63))*$F$63)</f>
        <v>9.4444444444444446</v>
      </c>
      <c r="G184" s="27">
        <f>ROUND(Second_Semester_Fundamental_Website_Development[[#This Row],[Quiz Average]],0)</f>
        <v>9</v>
      </c>
      <c r="H184" s="31">
        <v>7</v>
      </c>
      <c r="I184" s="28">
        <v>2</v>
      </c>
      <c r="J184" s="28">
        <v>37.5</v>
      </c>
      <c r="K184" s="28">
        <f>SUM(Second_Semester_Fundamental_Website_Development[[#This Row],[Assignment]:[Final]])</f>
        <v>39.5</v>
      </c>
      <c r="L184" s="42">
        <f>ROUND(Second_Semester_Fundamental_Website_Development[[#This Row],[Ass &amp; Final]],0)</f>
        <v>40</v>
      </c>
      <c r="M184" s="42">
        <f t="shared" ref="M184:M185" si="21">SUM(G184,H184,L184)</f>
        <v>56</v>
      </c>
      <c r="N184" s="46" t="str">
        <f t="shared" si="17"/>
        <v>B-</v>
      </c>
      <c r="O184" s="44" t="str">
        <f t="shared" si="18"/>
        <v>2.75</v>
      </c>
      <c r="P184" s="34" t="str">
        <f t="shared" si="19"/>
        <v>Above Average</v>
      </c>
    </row>
    <row r="185" spans="1:20" ht="15.75" thickBot="1" x14ac:dyDescent="0.3">
      <c r="A185" s="35" t="s">
        <v>60</v>
      </c>
      <c r="B185" s="36" t="s">
        <v>61</v>
      </c>
      <c r="C185" s="37">
        <v>3</v>
      </c>
      <c r="D185" s="37">
        <v>1</v>
      </c>
      <c r="E185" s="37">
        <v>11.666666666666666</v>
      </c>
      <c r="F185" s="37">
        <f>(((SUM(Second_Semester_Fundamental_Website_Development[[#This Row],[Quiz 1]:[Quiz 3]]))/SUM($C$63:$E$63))*$F$63)</f>
        <v>5.2222222222222223</v>
      </c>
      <c r="G185" s="38">
        <f>ROUND(Second_Semester_Fundamental_Website_Development[[#This Row],[Quiz Average]],0)</f>
        <v>5</v>
      </c>
      <c r="H185" s="39">
        <v>5</v>
      </c>
      <c r="I185" s="37">
        <v>35</v>
      </c>
      <c r="J185" s="37">
        <v>29.5</v>
      </c>
      <c r="K185" s="37">
        <f>SUM(Second_Semester_Fundamental_Website_Development[[#This Row],[Assignment]:[Final]])</f>
        <v>64.5</v>
      </c>
      <c r="L185" s="43">
        <f>ROUND(Second_Semester_Fundamental_Website_Development[[#This Row],[Ass &amp; Final]],0)</f>
        <v>65</v>
      </c>
      <c r="M185" s="76">
        <f t="shared" si="21"/>
        <v>75</v>
      </c>
      <c r="N185" s="47" t="str">
        <f t="shared" si="17"/>
        <v>A</v>
      </c>
      <c r="O185" s="45" t="str">
        <f t="shared" si="18"/>
        <v>3.75</v>
      </c>
      <c r="P185" s="41" t="str">
        <f t="shared" si="19"/>
        <v>Excellent</v>
      </c>
    </row>
    <row r="186" spans="1:20" x14ac:dyDescent="0.25">
      <c r="A186" s="68"/>
      <c r="B186" s="68"/>
      <c r="C186" s="30"/>
      <c r="D186" s="30"/>
      <c r="E186" s="30"/>
      <c r="F186" s="30"/>
      <c r="G186" s="69"/>
      <c r="H186" s="71"/>
      <c r="I186" s="71"/>
      <c r="J186" s="71"/>
      <c r="K186" s="69"/>
      <c r="L186" s="69"/>
      <c r="M186" s="30"/>
      <c r="N186" s="30"/>
      <c r="O186" s="30"/>
      <c r="P186" s="70"/>
      <c r="Q186" s="70"/>
      <c r="R186" s="30"/>
      <c r="S186" s="30"/>
      <c r="T186" s="30"/>
    </row>
    <row r="187" spans="1:20" x14ac:dyDescent="0.25">
      <c r="A187" s="68"/>
      <c r="B187" s="68"/>
      <c r="C187" s="30"/>
      <c r="D187" s="30"/>
      <c r="E187" s="30"/>
      <c r="F187" s="30"/>
      <c r="G187" s="69"/>
      <c r="H187" s="71"/>
      <c r="I187" s="71"/>
      <c r="J187" s="71"/>
      <c r="K187" s="69"/>
      <c r="L187" s="69"/>
      <c r="M187" s="30"/>
      <c r="N187" s="30"/>
      <c r="O187" s="30"/>
      <c r="P187" s="70"/>
      <c r="Q187" s="70"/>
      <c r="R187" s="30"/>
      <c r="S187" s="30"/>
      <c r="T187" s="30"/>
    </row>
    <row r="188" spans="1:20" x14ac:dyDescent="0.25">
      <c r="A188" s="68"/>
      <c r="B188" s="68"/>
      <c r="C188" s="30"/>
      <c r="D188" s="30"/>
      <c r="E188" s="30"/>
      <c r="F188" s="30"/>
      <c r="G188" s="69"/>
      <c r="H188" s="71"/>
      <c r="I188" s="71"/>
      <c r="J188" s="71"/>
      <c r="K188" s="69"/>
      <c r="L188" s="69"/>
      <c r="M188" s="30"/>
      <c r="N188" s="30"/>
      <c r="O188" s="30"/>
      <c r="P188" s="70"/>
      <c r="Q188" s="70"/>
      <c r="R188" s="30"/>
      <c r="S188" s="30"/>
      <c r="T188" s="30"/>
    </row>
    <row r="189" spans="1:20" x14ac:dyDescent="0.25">
      <c r="A189" s="68"/>
      <c r="B189" s="68"/>
      <c r="C189" s="30"/>
      <c r="D189" s="30"/>
      <c r="E189" s="30"/>
      <c r="F189" s="30"/>
      <c r="G189" s="69"/>
      <c r="H189" s="71"/>
      <c r="I189" s="71"/>
      <c r="J189" s="71"/>
      <c r="K189" s="69"/>
      <c r="L189" s="69"/>
      <c r="M189" s="30"/>
      <c r="N189" s="30"/>
      <c r="O189" s="30"/>
      <c r="P189" s="70"/>
      <c r="Q189" s="70"/>
      <c r="R189" s="30"/>
      <c r="S189" s="30"/>
      <c r="T189" s="30"/>
    </row>
    <row r="190" spans="1:20" x14ac:dyDescent="0.25">
      <c r="A190" s="68"/>
      <c r="B190" s="68"/>
      <c r="C190" s="30"/>
      <c r="D190" s="30"/>
      <c r="E190" s="30"/>
      <c r="F190" s="30"/>
      <c r="G190" s="69"/>
      <c r="H190" s="71"/>
      <c r="I190" s="71"/>
      <c r="J190" s="71"/>
      <c r="K190" s="69"/>
      <c r="L190" s="69"/>
      <c r="M190" s="30"/>
      <c r="N190" s="30"/>
      <c r="O190" s="30"/>
      <c r="P190" s="70"/>
      <c r="Q190" s="70"/>
      <c r="R190" s="30"/>
      <c r="S190" s="30"/>
      <c r="T190" s="30"/>
    </row>
    <row r="191" spans="1:20" x14ac:dyDescent="0.25">
      <c r="A191" s="68"/>
      <c r="B191" s="68"/>
      <c r="C191" s="30"/>
      <c r="D191" s="30"/>
      <c r="E191" s="30"/>
      <c r="F191" s="30"/>
      <c r="G191" s="69"/>
      <c r="H191" s="71"/>
      <c r="I191" s="71"/>
      <c r="J191" s="71"/>
      <c r="K191" s="69"/>
      <c r="L191" s="69"/>
      <c r="M191" s="30"/>
      <c r="N191" s="30"/>
      <c r="O191" s="30"/>
      <c r="P191" s="70"/>
      <c r="Q191" s="70"/>
      <c r="R191" s="30"/>
      <c r="S191" s="30"/>
      <c r="T191" s="30"/>
    </row>
    <row r="201" spans="1:18" ht="27" customHeight="1" x14ac:dyDescent="0.25">
      <c r="A201" s="293" t="s">
        <v>163</v>
      </c>
      <c r="B201" s="293"/>
      <c r="C201" s="56" t="s">
        <v>165</v>
      </c>
      <c r="D201" s="56"/>
      <c r="E201" s="56"/>
      <c r="F201" s="294" t="s">
        <v>339</v>
      </c>
      <c r="G201" s="294"/>
      <c r="H201" s="294"/>
      <c r="I201" s="294"/>
      <c r="J201" s="294"/>
      <c r="K201" s="294"/>
      <c r="L201" s="294"/>
      <c r="M201" s="64" t="s">
        <v>167</v>
      </c>
      <c r="N201" s="65">
        <v>44409</v>
      </c>
      <c r="Q201" s="56"/>
      <c r="R201" s="56"/>
    </row>
    <row r="202" spans="1:18" ht="27" customHeight="1" thickBot="1" x14ac:dyDescent="0.3">
      <c r="A202" s="296" t="s">
        <v>164</v>
      </c>
      <c r="B202" s="296"/>
      <c r="C202" s="63" t="s">
        <v>166</v>
      </c>
      <c r="D202" s="63"/>
      <c r="E202" s="62"/>
      <c r="F202" s="295"/>
      <c r="G202" s="295"/>
      <c r="H202" s="295"/>
      <c r="I202" s="295"/>
      <c r="J202" s="295"/>
      <c r="K202" s="295"/>
      <c r="L202" s="295"/>
      <c r="M202" s="72" t="s">
        <v>168</v>
      </c>
      <c r="N202" s="73">
        <v>0.91666666666666663</v>
      </c>
      <c r="Q202" s="9"/>
      <c r="R202" s="9"/>
    </row>
    <row r="203" spans="1:18" x14ac:dyDescent="0.25">
      <c r="A203" s="58" t="s">
        <v>0</v>
      </c>
      <c r="B203" s="57" t="s">
        <v>20</v>
      </c>
      <c r="C203" s="27" t="s">
        <v>340</v>
      </c>
      <c r="D203" s="93" t="s">
        <v>139</v>
      </c>
      <c r="E203" s="93" t="s">
        <v>137</v>
      </c>
      <c r="F203" s="93" t="s">
        <v>144</v>
      </c>
      <c r="G203" s="93" t="s">
        <v>169</v>
      </c>
      <c r="H203" s="60" t="s">
        <v>170</v>
      </c>
      <c r="I203" s="75" t="s">
        <v>147</v>
      </c>
      <c r="J203" s="75" t="s">
        <v>148</v>
      </c>
      <c r="K203" s="75" t="s">
        <v>149</v>
      </c>
      <c r="L203" s="77" t="s">
        <v>150</v>
      </c>
      <c r="M203" s="9"/>
      <c r="N203" s="9"/>
      <c r="O203" s="9"/>
      <c r="P203" s="9"/>
    </row>
    <row r="204" spans="1:18" x14ac:dyDescent="0.25">
      <c r="A204" s="15"/>
      <c r="B204" s="49" t="s">
        <v>142</v>
      </c>
      <c r="C204" s="52">
        <v>25</v>
      </c>
      <c r="D204" s="50">
        <v>10</v>
      </c>
      <c r="E204" s="50">
        <v>25</v>
      </c>
      <c r="F204" s="50">
        <v>40</v>
      </c>
      <c r="G204" s="53">
        <v>65</v>
      </c>
      <c r="H204" s="54">
        <v>65</v>
      </c>
      <c r="I204" s="55">
        <v>100</v>
      </c>
      <c r="J204" s="55" t="s">
        <v>151</v>
      </c>
      <c r="K204" s="54" t="s">
        <v>152</v>
      </c>
      <c r="L204" s="78" t="s">
        <v>153</v>
      </c>
    </row>
    <row r="205" spans="1:18" x14ac:dyDescent="0.25">
      <c r="A205" s="1" t="s">
        <v>57</v>
      </c>
      <c r="B205" s="29" t="s">
        <v>58</v>
      </c>
      <c r="C205" s="34">
        <v>5</v>
      </c>
      <c r="D205" s="31">
        <v>8</v>
      </c>
      <c r="E205" s="28">
        <v>4</v>
      </c>
      <c r="F205" s="28">
        <v>17.5</v>
      </c>
      <c r="G205" s="28">
        <f>SUM(Second_Semester_Structured_Programming_Lab[[#This Row],[Assignment]:[Final]])</f>
        <v>21.5</v>
      </c>
      <c r="H205" s="42">
        <f>ROUND(Second_Semester_Structured_Programming_Lab[[#This Row],[Ass &amp; Final]],0)</f>
        <v>22</v>
      </c>
      <c r="I205" s="42">
        <f>SUM(C205,D205,H205)</f>
        <v>35</v>
      </c>
      <c r="J205" s="46" t="str">
        <f>IF(I205&gt;79,"A+",IF(I205&gt;74,"A",IF(I205&gt;69,"A-",IF(I205&gt;64,"B+",IF(I205&gt;59,"B",IF(I205&gt;54,"B-",IF(I205&gt;49,"C+",IF(I205&gt;44,"C",IF(I205&gt;39,"D",IF(I205&gt;0,"F","N/A"))))))))))</f>
        <v>F</v>
      </c>
      <c r="K205" s="44" t="str">
        <f>IF(I205&gt;79,"4.00",IF(I205&gt;74,"3.75",IF(I205&gt;69,"3.50",IF(I205&gt;64,"3.25",IF(I205&gt;59,"3.00",IF(I205&gt;54,"2.75",IF(I205&gt;49,"2.50",IF(I205&gt;44,"2.25",IF(I205&gt;39,"2.00",IF(I205&gt;0,"0.00","N/A"))))))))))</f>
        <v>0.00</v>
      </c>
      <c r="L205" s="79" t="str">
        <f>IF(I205&gt;79,"Outstanding",IF(I205&gt;74,"Excellent",IF(I205&gt;69,"Very Good",IF(I205&gt;64,"Good",IF(I205&gt;59,"Satisfactory",IF(I205&gt;54,"Above Average",IF(I205&gt;49,"Average",IF(I205&gt;44,"Bellow Average",IF(I205&gt;39,"Pass",IF(I205&gt;0,"Fail","N/A"))))))))))</f>
        <v>Fail</v>
      </c>
    </row>
    <row r="206" spans="1:18" x14ac:dyDescent="0.25">
      <c r="A206" s="1" t="s">
        <v>56</v>
      </c>
      <c r="B206" s="29" t="s">
        <v>59</v>
      </c>
      <c r="C206" s="34">
        <v>1.5</v>
      </c>
      <c r="D206" s="31">
        <v>4</v>
      </c>
      <c r="E206" s="28">
        <v>19.5</v>
      </c>
      <c r="F206" s="28">
        <v>16.5</v>
      </c>
      <c r="G206" s="28">
        <f>SUM(Second_Semester_Structured_Programming_Lab[[#This Row],[Assignment]:[Final]])</f>
        <v>36</v>
      </c>
      <c r="H206" s="42">
        <f>ROUND(Second_Semester_Structured_Programming_Lab[[#This Row],[Ass &amp; Final]],0)</f>
        <v>36</v>
      </c>
      <c r="I206" s="42">
        <f t="shared" ref="I206:I210" si="22">SUM(C206,D206,H206)</f>
        <v>41.5</v>
      </c>
      <c r="J206" s="46" t="str">
        <f t="shared" ref="J206:J232" si="23">IF(I206&gt;79,"A+",IF(I206&gt;74,"A",IF(I206&gt;69,"A-",IF(I206&gt;64,"B+",IF(I206&gt;59,"B",IF(I206&gt;54,"B-",IF(I206&gt;49,"C+",IF(I206&gt;44,"C",IF(I206&gt;39,"D",IF(I206&gt;0,"F","N/A"))))))))))</f>
        <v>D</v>
      </c>
      <c r="K206" s="44" t="str">
        <f t="shared" ref="K206:K232" si="24">IF(I206&gt;79,"4.00",IF(I206&gt;74,"3.75",IF(I206&gt;69,"3.50",IF(I206&gt;64,"3.25",IF(I206&gt;59,"3.00",IF(I206&gt;54,"2.75",IF(I206&gt;49,"2.50",IF(I206&gt;44,"2.25",IF(I206&gt;39,"2.00",IF(I206&gt;0,"0.00","N/A"))))))))))</f>
        <v>2.00</v>
      </c>
      <c r="L206" s="79" t="str">
        <f t="shared" ref="L206:L232" si="25">IF(I206&gt;79,"Outstanding",IF(I206&gt;74,"Excellent",IF(I206&gt;69,"Very Good",IF(I206&gt;64,"Good",IF(I206&gt;59,"Satisfactory",IF(I206&gt;54,"Above Average",IF(I206&gt;49,"Average",IF(I206&gt;44,"Bellow Average",IF(I206&gt;39,"Pass",IF(I206&gt;0,"Fail","N/A"))))))))))</f>
        <v>Pass</v>
      </c>
    </row>
    <row r="207" spans="1:18" x14ac:dyDescent="0.25">
      <c r="A207" s="1" t="s">
        <v>1</v>
      </c>
      <c r="B207" s="29" t="s">
        <v>27</v>
      </c>
      <c r="C207" s="34">
        <v>7</v>
      </c>
      <c r="D207" s="31">
        <v>4</v>
      </c>
      <c r="E207" s="28">
        <v>24</v>
      </c>
      <c r="F207" s="28">
        <v>6.5</v>
      </c>
      <c r="G207" s="28">
        <f>SUM(Second_Semester_Structured_Programming_Lab[[#This Row],[Assignment]:[Final]])</f>
        <v>30.5</v>
      </c>
      <c r="H207" s="42">
        <f>ROUND(Second_Semester_Structured_Programming_Lab[[#This Row],[Ass &amp; Final]],0)</f>
        <v>31</v>
      </c>
      <c r="I207" s="42">
        <f t="shared" si="22"/>
        <v>42</v>
      </c>
      <c r="J207" s="46" t="str">
        <f t="shared" si="23"/>
        <v>D</v>
      </c>
      <c r="K207" s="44" t="str">
        <f t="shared" si="24"/>
        <v>2.00</v>
      </c>
      <c r="L207" s="34" t="str">
        <f t="shared" si="25"/>
        <v>Pass</v>
      </c>
    </row>
    <row r="208" spans="1:18" x14ac:dyDescent="0.25">
      <c r="A208" s="1" t="s">
        <v>2</v>
      </c>
      <c r="B208" s="29" t="s">
        <v>28</v>
      </c>
      <c r="C208" s="34">
        <v>11.5</v>
      </c>
      <c r="D208" s="31">
        <v>3</v>
      </c>
      <c r="E208" s="28">
        <v>8.5</v>
      </c>
      <c r="F208" s="28">
        <v>33</v>
      </c>
      <c r="G208" s="28">
        <f>SUM(Second_Semester_Structured_Programming_Lab[[#This Row],[Assignment]:[Final]])</f>
        <v>41.5</v>
      </c>
      <c r="H208" s="42">
        <f>ROUND(Second_Semester_Structured_Programming_Lab[[#This Row],[Ass &amp; Final]],0)</f>
        <v>42</v>
      </c>
      <c r="I208" s="42">
        <f t="shared" si="22"/>
        <v>56.5</v>
      </c>
      <c r="J208" s="46" t="str">
        <f t="shared" si="23"/>
        <v>B-</v>
      </c>
      <c r="K208" s="44" t="str">
        <f t="shared" si="24"/>
        <v>2.75</v>
      </c>
      <c r="L208" s="34" t="str">
        <f t="shared" si="25"/>
        <v>Above Average</v>
      </c>
    </row>
    <row r="209" spans="1:12" x14ac:dyDescent="0.25">
      <c r="A209" s="1" t="s">
        <v>3</v>
      </c>
      <c r="B209" s="29" t="s">
        <v>29</v>
      </c>
      <c r="C209" s="34">
        <v>18.5</v>
      </c>
      <c r="D209" s="31">
        <v>8</v>
      </c>
      <c r="E209" s="28">
        <v>17</v>
      </c>
      <c r="F209" s="28">
        <v>12</v>
      </c>
      <c r="G209" s="28">
        <f>SUM(Second_Semester_Structured_Programming_Lab[[#This Row],[Assignment]:[Final]])</f>
        <v>29</v>
      </c>
      <c r="H209" s="42">
        <f>ROUND(Second_Semester_Structured_Programming_Lab[[#This Row],[Ass &amp; Final]],0)</f>
        <v>29</v>
      </c>
      <c r="I209" s="42">
        <f t="shared" si="22"/>
        <v>55.5</v>
      </c>
      <c r="J209" s="46" t="str">
        <f t="shared" si="23"/>
        <v>B-</v>
      </c>
      <c r="K209" s="44" t="str">
        <f t="shared" si="24"/>
        <v>2.75</v>
      </c>
      <c r="L209" s="34" t="str">
        <f t="shared" si="25"/>
        <v>Above Average</v>
      </c>
    </row>
    <row r="210" spans="1:12" x14ac:dyDescent="0.25">
      <c r="A210" s="1" t="s">
        <v>4</v>
      </c>
      <c r="B210" s="29" t="s">
        <v>30</v>
      </c>
      <c r="C210" s="34">
        <v>13.5</v>
      </c>
      <c r="D210" s="31">
        <v>2</v>
      </c>
      <c r="E210" s="28">
        <v>23</v>
      </c>
      <c r="F210" s="28">
        <v>34.5</v>
      </c>
      <c r="G210" s="28">
        <f>SUM(Second_Semester_Structured_Programming_Lab[[#This Row],[Assignment]:[Final]])</f>
        <v>57.5</v>
      </c>
      <c r="H210" s="42">
        <f>ROUND(Second_Semester_Structured_Programming_Lab[[#This Row],[Ass &amp; Final]],0)</f>
        <v>58</v>
      </c>
      <c r="I210" s="42">
        <f t="shared" si="22"/>
        <v>73.5</v>
      </c>
      <c r="J210" s="46" t="str">
        <f t="shared" si="23"/>
        <v>A-</v>
      </c>
      <c r="K210" s="44" t="str">
        <f t="shared" si="24"/>
        <v>3.50</v>
      </c>
      <c r="L210" s="34" t="str">
        <f t="shared" si="25"/>
        <v>Very Good</v>
      </c>
    </row>
    <row r="211" spans="1:12" x14ac:dyDescent="0.25">
      <c r="A211" s="6" t="s">
        <v>5</v>
      </c>
      <c r="B211" s="225" t="s">
        <v>31</v>
      </c>
      <c r="C211" s="219"/>
      <c r="D211" s="220"/>
      <c r="E211" s="221"/>
      <c r="F211" s="221"/>
      <c r="G211" s="221"/>
      <c r="H211" s="222"/>
      <c r="I211" s="222"/>
      <c r="J211" s="223"/>
      <c r="K211" s="224"/>
      <c r="L211" s="219"/>
    </row>
    <row r="212" spans="1:12" x14ac:dyDescent="0.25">
      <c r="A212" s="1" t="s">
        <v>6</v>
      </c>
      <c r="B212" s="29" t="s">
        <v>32</v>
      </c>
      <c r="C212" s="34">
        <v>19</v>
      </c>
      <c r="D212" s="31">
        <v>3</v>
      </c>
      <c r="E212" s="28">
        <v>11.5</v>
      </c>
      <c r="F212" s="28">
        <v>15</v>
      </c>
      <c r="G212" s="28">
        <f>SUM(Second_Semester_Structured_Programming_Lab[[#This Row],[Assignment]:[Final]])</f>
        <v>26.5</v>
      </c>
      <c r="H212" s="42">
        <f>ROUND(Second_Semester_Structured_Programming_Lab[[#This Row],[Ass &amp; Final]],0)</f>
        <v>27</v>
      </c>
      <c r="I212" s="42">
        <f t="shared" ref="I212:I229" si="26">SUM(C212,D212,H212)</f>
        <v>49</v>
      </c>
      <c r="J212" s="46" t="str">
        <f t="shared" si="23"/>
        <v>C</v>
      </c>
      <c r="K212" s="44" t="str">
        <f t="shared" si="24"/>
        <v>2.25</v>
      </c>
      <c r="L212" s="34" t="str">
        <f t="shared" si="25"/>
        <v>Bellow Average</v>
      </c>
    </row>
    <row r="213" spans="1:12" x14ac:dyDescent="0.25">
      <c r="A213" s="1" t="s">
        <v>7</v>
      </c>
      <c r="B213" s="29" t="s">
        <v>33</v>
      </c>
      <c r="C213" s="34">
        <v>20.5</v>
      </c>
      <c r="D213" s="31">
        <v>10</v>
      </c>
      <c r="E213" s="28">
        <v>22.5</v>
      </c>
      <c r="F213" s="28">
        <v>25</v>
      </c>
      <c r="G213" s="28">
        <f>SUM(Second_Semester_Structured_Programming_Lab[[#This Row],[Assignment]:[Final]])</f>
        <v>47.5</v>
      </c>
      <c r="H213" s="42">
        <f>ROUND(Second_Semester_Structured_Programming_Lab[[#This Row],[Ass &amp; Final]],0)</f>
        <v>48</v>
      </c>
      <c r="I213" s="42">
        <f>SUM(C213,D213,H213)</f>
        <v>78.5</v>
      </c>
      <c r="J213" s="46" t="str">
        <f t="shared" si="23"/>
        <v>A</v>
      </c>
      <c r="K213" s="44" t="str">
        <f t="shared" si="24"/>
        <v>3.75</v>
      </c>
      <c r="L213" s="34" t="str">
        <f t="shared" si="25"/>
        <v>Excellent</v>
      </c>
    </row>
    <row r="214" spans="1:12" x14ac:dyDescent="0.25">
      <c r="A214" s="1" t="s">
        <v>8</v>
      </c>
      <c r="B214" s="29" t="s">
        <v>34</v>
      </c>
      <c r="C214" s="34">
        <v>11</v>
      </c>
      <c r="D214" s="31">
        <v>2</v>
      </c>
      <c r="E214" s="28">
        <v>18</v>
      </c>
      <c r="F214" s="28">
        <v>35</v>
      </c>
      <c r="G214" s="28">
        <f>SUM(Second_Semester_Structured_Programming_Lab[[#This Row],[Assignment]:[Final]])</f>
        <v>53</v>
      </c>
      <c r="H214" s="42">
        <f>ROUND(Second_Semester_Structured_Programming_Lab[[#This Row],[Ass &amp; Final]],0)</f>
        <v>53</v>
      </c>
      <c r="I214" s="42">
        <f t="shared" si="26"/>
        <v>66</v>
      </c>
      <c r="J214" s="46" t="str">
        <f t="shared" si="23"/>
        <v>B+</v>
      </c>
      <c r="K214" s="44" t="str">
        <f t="shared" si="24"/>
        <v>3.25</v>
      </c>
      <c r="L214" s="34" t="str">
        <f t="shared" si="25"/>
        <v>Good</v>
      </c>
    </row>
    <row r="215" spans="1:12" x14ac:dyDescent="0.25">
      <c r="A215" s="1" t="s">
        <v>9</v>
      </c>
      <c r="B215" s="29" t="s">
        <v>35</v>
      </c>
      <c r="C215" s="34">
        <v>14.5</v>
      </c>
      <c r="D215" s="31">
        <v>2</v>
      </c>
      <c r="E215" s="28">
        <v>9.5</v>
      </c>
      <c r="F215" s="28">
        <v>17</v>
      </c>
      <c r="G215" s="28">
        <f>SUM(Second_Semester_Structured_Programming_Lab[[#This Row],[Assignment]:[Final]])</f>
        <v>26.5</v>
      </c>
      <c r="H215" s="42">
        <f>ROUND(Second_Semester_Structured_Programming_Lab[[#This Row],[Ass &amp; Final]],0)</f>
        <v>27</v>
      </c>
      <c r="I215" s="42">
        <f t="shared" si="26"/>
        <v>43.5</v>
      </c>
      <c r="J215" s="46" t="str">
        <f t="shared" si="23"/>
        <v>D</v>
      </c>
      <c r="K215" s="44" t="str">
        <f t="shared" si="24"/>
        <v>2.00</v>
      </c>
      <c r="L215" s="34" t="str">
        <f t="shared" si="25"/>
        <v>Pass</v>
      </c>
    </row>
    <row r="216" spans="1:12" x14ac:dyDescent="0.25">
      <c r="A216" s="1" t="s">
        <v>10</v>
      </c>
      <c r="B216" s="29" t="s">
        <v>36</v>
      </c>
      <c r="C216" s="34">
        <v>17</v>
      </c>
      <c r="D216" s="31">
        <v>5</v>
      </c>
      <c r="E216" s="28">
        <v>20</v>
      </c>
      <c r="F216" s="28">
        <v>38.5</v>
      </c>
      <c r="G216" s="28">
        <f>SUM(Second_Semester_Structured_Programming_Lab[[#This Row],[Assignment]:[Final]])</f>
        <v>58.5</v>
      </c>
      <c r="H216" s="42">
        <f>ROUND(Second_Semester_Structured_Programming_Lab[[#This Row],[Ass &amp; Final]],0)</f>
        <v>59</v>
      </c>
      <c r="I216" s="42">
        <f t="shared" si="26"/>
        <v>81</v>
      </c>
      <c r="J216" s="46" t="str">
        <f t="shared" si="23"/>
        <v>A+</v>
      </c>
      <c r="K216" s="44" t="str">
        <f t="shared" si="24"/>
        <v>4.00</v>
      </c>
      <c r="L216" s="34" t="str">
        <f t="shared" si="25"/>
        <v>Outstanding</v>
      </c>
    </row>
    <row r="217" spans="1:12" x14ac:dyDescent="0.25">
      <c r="A217" s="6" t="s">
        <v>11</v>
      </c>
      <c r="B217" s="225" t="s">
        <v>31</v>
      </c>
      <c r="C217" s="219"/>
      <c r="D217" s="220"/>
      <c r="E217" s="221"/>
      <c r="F217" s="221"/>
      <c r="G217" s="221"/>
      <c r="H217" s="222"/>
      <c r="I217" s="222"/>
      <c r="J217" s="223"/>
      <c r="K217" s="224"/>
      <c r="L217" s="219"/>
    </row>
    <row r="218" spans="1:12" x14ac:dyDescent="0.25">
      <c r="A218" s="1" t="s">
        <v>12</v>
      </c>
      <c r="B218" s="29" t="s">
        <v>37</v>
      </c>
      <c r="C218" s="34">
        <v>6</v>
      </c>
      <c r="D218" s="31">
        <v>3</v>
      </c>
      <c r="E218" s="28">
        <v>11</v>
      </c>
      <c r="F218" s="28">
        <v>8</v>
      </c>
      <c r="G218" s="28">
        <f>SUM(Second_Semester_Structured_Programming_Lab[[#This Row],[Assignment]:[Final]])</f>
        <v>19</v>
      </c>
      <c r="H218" s="42">
        <f>ROUND(Second_Semester_Structured_Programming_Lab[[#This Row],[Ass &amp; Final]],0)</f>
        <v>19</v>
      </c>
      <c r="I218" s="42">
        <f t="shared" si="26"/>
        <v>28</v>
      </c>
      <c r="J218" s="46" t="str">
        <f t="shared" si="23"/>
        <v>F</v>
      </c>
      <c r="K218" s="44" t="str">
        <f t="shared" si="24"/>
        <v>0.00</v>
      </c>
      <c r="L218" s="34" t="str">
        <f t="shared" si="25"/>
        <v>Fail</v>
      </c>
    </row>
    <row r="219" spans="1:12" x14ac:dyDescent="0.25">
      <c r="A219" s="1" t="s">
        <v>13</v>
      </c>
      <c r="B219" s="29" t="s">
        <v>38</v>
      </c>
      <c r="C219" s="34">
        <v>6</v>
      </c>
      <c r="D219" s="31">
        <v>7</v>
      </c>
      <c r="E219" s="28">
        <v>13</v>
      </c>
      <c r="F219" s="28">
        <v>30</v>
      </c>
      <c r="G219" s="28">
        <f>SUM(Second_Semester_Structured_Programming_Lab[[#This Row],[Assignment]:[Final]])</f>
        <v>43</v>
      </c>
      <c r="H219" s="42">
        <f>ROUND(Second_Semester_Structured_Programming_Lab[[#This Row],[Ass &amp; Final]],0)</f>
        <v>43</v>
      </c>
      <c r="I219" s="42">
        <f t="shared" si="26"/>
        <v>56</v>
      </c>
      <c r="J219" s="46" t="str">
        <f t="shared" si="23"/>
        <v>B-</v>
      </c>
      <c r="K219" s="44" t="str">
        <f t="shared" si="24"/>
        <v>2.75</v>
      </c>
      <c r="L219" s="34" t="str">
        <f t="shared" si="25"/>
        <v>Above Average</v>
      </c>
    </row>
    <row r="220" spans="1:12" x14ac:dyDescent="0.25">
      <c r="A220" s="1" t="s">
        <v>14</v>
      </c>
      <c r="B220" s="29" t="s">
        <v>39</v>
      </c>
      <c r="C220" s="34">
        <v>8.5</v>
      </c>
      <c r="D220" s="31">
        <v>2</v>
      </c>
      <c r="E220" s="28">
        <v>16</v>
      </c>
      <c r="F220" s="28">
        <v>16</v>
      </c>
      <c r="G220" s="28">
        <f>SUM(Second_Semester_Structured_Programming_Lab[[#This Row],[Assignment]:[Final]])</f>
        <v>32</v>
      </c>
      <c r="H220" s="42">
        <f>ROUND(Second_Semester_Structured_Programming_Lab[[#This Row],[Ass &amp; Final]],0)</f>
        <v>32</v>
      </c>
      <c r="I220" s="42">
        <f t="shared" si="26"/>
        <v>42.5</v>
      </c>
      <c r="J220" s="46" t="str">
        <f t="shared" si="23"/>
        <v>D</v>
      </c>
      <c r="K220" s="44" t="str">
        <f t="shared" si="24"/>
        <v>2.00</v>
      </c>
      <c r="L220" s="34" t="str">
        <f t="shared" si="25"/>
        <v>Pass</v>
      </c>
    </row>
    <row r="221" spans="1:12" x14ac:dyDescent="0.25">
      <c r="A221" s="1" t="s">
        <v>15</v>
      </c>
      <c r="B221" s="29" t="s">
        <v>40</v>
      </c>
      <c r="C221" s="34">
        <v>16.5</v>
      </c>
      <c r="D221" s="31">
        <v>6</v>
      </c>
      <c r="E221" s="28">
        <v>9</v>
      </c>
      <c r="F221" s="28">
        <v>15</v>
      </c>
      <c r="G221" s="28">
        <f>SUM(Second_Semester_Structured_Programming_Lab[[#This Row],[Assignment]:[Final]])</f>
        <v>24</v>
      </c>
      <c r="H221" s="42">
        <f>ROUND(Second_Semester_Structured_Programming_Lab[[#This Row],[Ass &amp; Final]],0)</f>
        <v>24</v>
      </c>
      <c r="I221" s="42">
        <f t="shared" si="26"/>
        <v>46.5</v>
      </c>
      <c r="J221" s="46" t="str">
        <f t="shared" si="23"/>
        <v>C</v>
      </c>
      <c r="K221" s="44" t="str">
        <f t="shared" si="24"/>
        <v>2.25</v>
      </c>
      <c r="L221" s="34" t="str">
        <f t="shared" si="25"/>
        <v>Bellow Average</v>
      </c>
    </row>
    <row r="222" spans="1:12" x14ac:dyDescent="0.25">
      <c r="A222" s="6" t="s">
        <v>16</v>
      </c>
      <c r="B222" s="225" t="s">
        <v>31</v>
      </c>
      <c r="C222" s="219"/>
      <c r="D222" s="220"/>
      <c r="E222" s="221"/>
      <c r="F222" s="221"/>
      <c r="G222" s="221"/>
      <c r="H222" s="222"/>
      <c r="I222" s="222"/>
      <c r="J222" s="223"/>
      <c r="K222" s="224"/>
      <c r="L222" s="219"/>
    </row>
    <row r="223" spans="1:12" x14ac:dyDescent="0.25">
      <c r="A223" s="1" t="s">
        <v>17</v>
      </c>
      <c r="B223" s="29" t="s">
        <v>41</v>
      </c>
      <c r="C223" s="34">
        <v>16.5</v>
      </c>
      <c r="D223" s="31">
        <v>9</v>
      </c>
      <c r="E223" s="28">
        <v>17</v>
      </c>
      <c r="F223" s="28">
        <v>28.5</v>
      </c>
      <c r="G223" s="28">
        <f>SUM(Second_Semester_Structured_Programming_Lab[[#This Row],[Assignment]:[Final]])</f>
        <v>45.5</v>
      </c>
      <c r="H223" s="42">
        <f>ROUND(Second_Semester_Structured_Programming_Lab[[#This Row],[Ass &amp; Final]],0)</f>
        <v>46</v>
      </c>
      <c r="I223" s="42">
        <f t="shared" si="26"/>
        <v>71.5</v>
      </c>
      <c r="J223" s="46" t="str">
        <f t="shared" si="23"/>
        <v>A-</v>
      </c>
      <c r="K223" s="44" t="str">
        <f t="shared" si="24"/>
        <v>3.50</v>
      </c>
      <c r="L223" s="34" t="str">
        <f t="shared" si="25"/>
        <v>Very Good</v>
      </c>
    </row>
    <row r="224" spans="1:12" x14ac:dyDescent="0.25">
      <c r="A224" s="1" t="s">
        <v>18</v>
      </c>
      <c r="B224" s="29" t="s">
        <v>42</v>
      </c>
      <c r="C224" s="34">
        <v>9</v>
      </c>
      <c r="D224" s="31">
        <v>9</v>
      </c>
      <c r="E224" s="28">
        <v>15</v>
      </c>
      <c r="F224" s="28">
        <v>26.5</v>
      </c>
      <c r="G224" s="28">
        <f>SUM(Second_Semester_Structured_Programming_Lab[[#This Row],[Assignment]:[Final]])</f>
        <v>41.5</v>
      </c>
      <c r="H224" s="42">
        <f>ROUND(Second_Semester_Structured_Programming_Lab[[#This Row],[Ass &amp; Final]],0)</f>
        <v>42</v>
      </c>
      <c r="I224" s="42">
        <f t="shared" si="26"/>
        <v>60</v>
      </c>
      <c r="J224" s="46" t="str">
        <f t="shared" si="23"/>
        <v>B</v>
      </c>
      <c r="K224" s="44" t="str">
        <f t="shared" si="24"/>
        <v>3.00</v>
      </c>
      <c r="L224" s="34" t="str">
        <f t="shared" si="25"/>
        <v>Satisfactory</v>
      </c>
    </row>
    <row r="225" spans="1:20" x14ac:dyDescent="0.25">
      <c r="A225" s="1" t="s">
        <v>19</v>
      </c>
      <c r="B225" s="29" t="s">
        <v>43</v>
      </c>
      <c r="C225" s="34">
        <v>15.5</v>
      </c>
      <c r="D225" s="31">
        <v>8</v>
      </c>
      <c r="E225" s="28">
        <v>8.5</v>
      </c>
      <c r="F225" s="28">
        <v>13</v>
      </c>
      <c r="G225" s="28">
        <f>SUM(Second_Semester_Structured_Programming_Lab[[#This Row],[Assignment]:[Final]])</f>
        <v>21.5</v>
      </c>
      <c r="H225" s="42">
        <f>ROUND(Second_Semester_Structured_Programming_Lab[[#This Row],[Ass &amp; Final]],0)</f>
        <v>22</v>
      </c>
      <c r="I225" s="42">
        <f t="shared" si="26"/>
        <v>45.5</v>
      </c>
      <c r="J225" s="46" t="str">
        <f t="shared" si="23"/>
        <v>C</v>
      </c>
      <c r="K225" s="44" t="str">
        <f t="shared" si="24"/>
        <v>2.25</v>
      </c>
      <c r="L225" s="34" t="str">
        <f t="shared" si="25"/>
        <v>Bellow Average</v>
      </c>
    </row>
    <row r="226" spans="1:20" x14ac:dyDescent="0.25">
      <c r="A226" s="1" t="s">
        <v>23</v>
      </c>
      <c r="B226" s="29" t="s">
        <v>44</v>
      </c>
      <c r="C226" s="34">
        <v>3</v>
      </c>
      <c r="D226" s="31">
        <v>10</v>
      </c>
      <c r="E226" s="28">
        <v>9</v>
      </c>
      <c r="F226" s="28">
        <v>28.5</v>
      </c>
      <c r="G226" s="28">
        <f>SUM(Second_Semester_Structured_Programming_Lab[[#This Row],[Assignment]:[Final]])</f>
        <v>37.5</v>
      </c>
      <c r="H226" s="42">
        <f>ROUND(Second_Semester_Structured_Programming_Lab[[#This Row],[Ass &amp; Final]],0)</f>
        <v>38</v>
      </c>
      <c r="I226" s="42">
        <f t="shared" si="26"/>
        <v>51</v>
      </c>
      <c r="J226" s="46" t="str">
        <f t="shared" si="23"/>
        <v>C+</v>
      </c>
      <c r="K226" s="44" t="str">
        <f t="shared" si="24"/>
        <v>2.50</v>
      </c>
      <c r="L226" s="34" t="str">
        <f t="shared" si="25"/>
        <v>Average</v>
      </c>
    </row>
    <row r="227" spans="1:20" x14ac:dyDescent="0.25">
      <c r="A227" s="1" t="s">
        <v>24</v>
      </c>
      <c r="B227" s="29" t="s">
        <v>45</v>
      </c>
      <c r="C227" s="34">
        <v>24.5</v>
      </c>
      <c r="D227" s="31">
        <v>6</v>
      </c>
      <c r="E227" s="28">
        <v>9.5</v>
      </c>
      <c r="F227" s="28">
        <v>21.5</v>
      </c>
      <c r="G227" s="28">
        <f>SUM(Second_Semester_Structured_Programming_Lab[[#This Row],[Assignment]:[Final]])</f>
        <v>31</v>
      </c>
      <c r="H227" s="42">
        <f>ROUND(Second_Semester_Structured_Programming_Lab[[#This Row],[Ass &amp; Final]],0)</f>
        <v>31</v>
      </c>
      <c r="I227" s="42">
        <f t="shared" si="26"/>
        <v>61.5</v>
      </c>
      <c r="J227" s="46" t="str">
        <f t="shared" si="23"/>
        <v>B</v>
      </c>
      <c r="K227" s="44" t="str">
        <f t="shared" si="24"/>
        <v>3.00</v>
      </c>
      <c r="L227" s="34" t="str">
        <f t="shared" si="25"/>
        <v>Satisfactory</v>
      </c>
    </row>
    <row r="228" spans="1:20" x14ac:dyDescent="0.25">
      <c r="A228" s="1" t="s">
        <v>25</v>
      </c>
      <c r="B228" s="29" t="s">
        <v>46</v>
      </c>
      <c r="C228" s="34">
        <v>13</v>
      </c>
      <c r="D228" s="31">
        <v>9</v>
      </c>
      <c r="E228" s="28">
        <v>2</v>
      </c>
      <c r="F228" s="28">
        <v>17</v>
      </c>
      <c r="G228" s="28">
        <f>SUM(Second_Semester_Structured_Programming_Lab[[#This Row],[Assignment]:[Final]])</f>
        <v>19</v>
      </c>
      <c r="H228" s="42">
        <f>ROUND(Second_Semester_Structured_Programming_Lab[[#This Row],[Ass &amp; Final]],0)</f>
        <v>19</v>
      </c>
      <c r="I228" s="42">
        <f t="shared" si="26"/>
        <v>41</v>
      </c>
      <c r="J228" s="46" t="str">
        <f t="shared" si="23"/>
        <v>D</v>
      </c>
      <c r="K228" s="44" t="str">
        <f t="shared" si="24"/>
        <v>2.00</v>
      </c>
      <c r="L228" s="34" t="str">
        <f t="shared" si="25"/>
        <v>Pass</v>
      </c>
    </row>
    <row r="229" spans="1:20" x14ac:dyDescent="0.25">
      <c r="A229" s="1" t="s">
        <v>26</v>
      </c>
      <c r="B229" s="29" t="s">
        <v>47</v>
      </c>
      <c r="C229" s="34">
        <v>21.5</v>
      </c>
      <c r="D229" s="31">
        <v>10</v>
      </c>
      <c r="E229" s="28">
        <v>23</v>
      </c>
      <c r="F229" s="28">
        <v>24.5</v>
      </c>
      <c r="G229" s="28">
        <f>SUM(Second_Semester_Structured_Programming_Lab[[#This Row],[Assignment]:[Final]])</f>
        <v>47.5</v>
      </c>
      <c r="H229" s="42">
        <f>ROUND(Second_Semester_Structured_Programming_Lab[[#This Row],[Ass &amp; Final]],0)</f>
        <v>48</v>
      </c>
      <c r="I229" s="42">
        <f t="shared" si="26"/>
        <v>79.5</v>
      </c>
      <c r="J229" s="46" t="str">
        <f t="shared" si="23"/>
        <v>A+</v>
      </c>
      <c r="K229" s="44" t="str">
        <f t="shared" si="24"/>
        <v>4.00</v>
      </c>
      <c r="L229" s="34" t="str">
        <f t="shared" si="25"/>
        <v>Outstanding</v>
      </c>
    </row>
    <row r="230" spans="1:20" x14ac:dyDescent="0.25">
      <c r="A230" s="1" t="s">
        <v>50</v>
      </c>
      <c r="B230" s="29" t="s">
        <v>51</v>
      </c>
      <c r="C230" s="34">
        <v>7.5</v>
      </c>
      <c r="D230" s="31">
        <v>3</v>
      </c>
      <c r="E230" s="28">
        <v>1.5</v>
      </c>
      <c r="F230" s="28">
        <v>6.5</v>
      </c>
      <c r="G230" s="28">
        <f>SUM(Second_Semester_Structured_Programming_Lab[[#This Row],[Assignment]:[Final]])</f>
        <v>8</v>
      </c>
      <c r="H230" s="42">
        <f>ROUND(Second_Semester_Structured_Programming_Lab[[#This Row],[Ass &amp; Final]],0)</f>
        <v>8</v>
      </c>
      <c r="I230" s="42">
        <f>SUM(C230,D230,H230)</f>
        <v>18.5</v>
      </c>
      <c r="J230" s="46" t="str">
        <f t="shared" si="23"/>
        <v>F</v>
      </c>
      <c r="K230" s="44" t="str">
        <f t="shared" si="24"/>
        <v>0.00</v>
      </c>
      <c r="L230" s="34" t="str">
        <f t="shared" si="25"/>
        <v>Fail</v>
      </c>
    </row>
    <row r="231" spans="1:20" x14ac:dyDescent="0.25">
      <c r="A231" s="1" t="s">
        <v>53</v>
      </c>
      <c r="B231" s="29" t="s">
        <v>54</v>
      </c>
      <c r="C231" s="34">
        <v>9</v>
      </c>
      <c r="D231" s="31">
        <v>6</v>
      </c>
      <c r="E231" s="28">
        <v>8.5</v>
      </c>
      <c r="F231" s="28">
        <v>35</v>
      </c>
      <c r="G231" s="28">
        <f>SUM(Second_Semester_Structured_Programming_Lab[[#This Row],[Assignment]:[Final]])</f>
        <v>43.5</v>
      </c>
      <c r="H231" s="42">
        <f>ROUND(Second_Semester_Structured_Programming_Lab[[#This Row],[Ass &amp; Final]],0)</f>
        <v>44</v>
      </c>
      <c r="I231" s="42">
        <f t="shared" ref="I231:I232" si="27">SUM(C231,D231,H231)</f>
        <v>59</v>
      </c>
      <c r="J231" s="46" t="str">
        <f t="shared" si="23"/>
        <v>B-</v>
      </c>
      <c r="K231" s="44" t="str">
        <f t="shared" si="24"/>
        <v>2.75</v>
      </c>
      <c r="L231" s="34" t="str">
        <f t="shared" si="25"/>
        <v>Above Average</v>
      </c>
    </row>
    <row r="232" spans="1:20" ht="15.75" thickBot="1" x14ac:dyDescent="0.3">
      <c r="A232" s="122" t="s">
        <v>60</v>
      </c>
      <c r="B232" s="123" t="s">
        <v>61</v>
      </c>
      <c r="C232" s="124">
        <v>3.5</v>
      </c>
      <c r="D232" s="125">
        <v>2</v>
      </c>
      <c r="E232" s="126">
        <v>12</v>
      </c>
      <c r="F232" s="126">
        <v>14.5</v>
      </c>
      <c r="G232" s="126">
        <f>SUM(Second_Semester_Structured_Programming_Lab[[#This Row],[Assignment]:[Final]])</f>
        <v>26.5</v>
      </c>
      <c r="H232" s="127">
        <f>ROUND(Second_Semester_Structured_Programming_Lab[[#This Row],[Ass &amp; Final]],0)</f>
        <v>27</v>
      </c>
      <c r="I232" s="76">
        <f t="shared" si="27"/>
        <v>32.5</v>
      </c>
      <c r="J232" s="128" t="str">
        <f t="shared" si="23"/>
        <v>F</v>
      </c>
      <c r="K232" s="129" t="str">
        <f t="shared" si="24"/>
        <v>0.00</v>
      </c>
      <c r="L232" s="124" t="str">
        <f t="shared" si="25"/>
        <v>Fail</v>
      </c>
    </row>
    <row r="233" spans="1:20" x14ac:dyDescent="0.25">
      <c r="A233" s="68"/>
      <c r="B233" s="68"/>
      <c r="C233" s="30"/>
      <c r="D233" s="30"/>
      <c r="E233" s="30"/>
      <c r="F233" s="30"/>
      <c r="G233" s="69"/>
      <c r="H233" s="71"/>
      <c r="I233" s="71"/>
      <c r="J233" s="71"/>
      <c r="K233" s="69"/>
      <c r="L233" s="69"/>
      <c r="M233" s="30"/>
      <c r="N233" s="30"/>
      <c r="O233" s="30"/>
      <c r="P233" s="70"/>
      <c r="Q233" s="70"/>
      <c r="R233" s="30"/>
      <c r="S233" s="30"/>
      <c r="T233" s="30"/>
    </row>
    <row r="234" spans="1:20" x14ac:dyDescent="0.25">
      <c r="A234" s="68"/>
      <c r="B234" s="68"/>
      <c r="C234" s="30"/>
      <c r="D234" s="30"/>
      <c r="E234" s="30"/>
      <c r="F234" s="30"/>
      <c r="G234" s="69"/>
      <c r="H234" s="71"/>
      <c r="I234" s="71"/>
      <c r="J234" s="71"/>
      <c r="K234" s="69"/>
      <c r="L234" s="69"/>
      <c r="M234" s="30"/>
      <c r="N234" s="30"/>
      <c r="O234" s="30"/>
      <c r="P234" s="70"/>
      <c r="Q234" s="70"/>
      <c r="R234" s="30"/>
      <c r="S234" s="30"/>
      <c r="T234" s="30"/>
    </row>
    <row r="235" spans="1:20" x14ac:dyDescent="0.25">
      <c r="A235" s="68"/>
      <c r="B235" s="68"/>
      <c r="C235" s="30"/>
      <c r="D235" s="30"/>
      <c r="E235" s="30"/>
      <c r="F235" s="30"/>
      <c r="G235" s="69"/>
      <c r="H235" s="71"/>
      <c r="I235" s="71"/>
      <c r="J235" s="71"/>
      <c r="K235" s="69"/>
      <c r="L235" s="69"/>
      <c r="M235" s="30"/>
      <c r="N235" s="30"/>
      <c r="O235" s="30"/>
      <c r="P235" s="70"/>
      <c r="Q235" s="70"/>
      <c r="R235" s="30"/>
      <c r="S235" s="30"/>
      <c r="T235" s="30"/>
    </row>
    <row r="236" spans="1:20" x14ac:dyDescent="0.25">
      <c r="A236" s="68"/>
      <c r="B236" s="68"/>
      <c r="C236" s="30"/>
      <c r="D236" s="30"/>
      <c r="E236" s="30"/>
      <c r="F236" s="30"/>
      <c r="G236" s="69"/>
      <c r="H236" s="71"/>
      <c r="I236" s="71"/>
      <c r="J236" s="71"/>
      <c r="K236" s="69"/>
      <c r="L236" s="69"/>
      <c r="M236" s="30"/>
      <c r="N236" s="30"/>
      <c r="O236" s="30"/>
      <c r="P236" s="70"/>
      <c r="Q236" s="70"/>
      <c r="R236" s="30"/>
      <c r="S236" s="30"/>
      <c r="T236" s="30"/>
    </row>
    <row r="237" spans="1:20" x14ac:dyDescent="0.25">
      <c r="A237" s="68"/>
      <c r="B237" s="68"/>
      <c r="C237" s="30"/>
      <c r="D237" s="30"/>
      <c r="E237" s="30"/>
      <c r="F237" s="30"/>
      <c r="G237" s="69"/>
      <c r="H237" s="71"/>
      <c r="I237" s="71"/>
      <c r="J237" s="71"/>
      <c r="K237" s="69"/>
      <c r="L237" s="69"/>
      <c r="M237" s="30"/>
      <c r="N237" s="30"/>
      <c r="O237" s="30"/>
      <c r="P237" s="70"/>
      <c r="Q237" s="70"/>
      <c r="R237" s="30"/>
      <c r="S237" s="30"/>
      <c r="T237" s="30"/>
    </row>
    <row r="238" spans="1:20" x14ac:dyDescent="0.25">
      <c r="A238" s="68"/>
      <c r="B238" s="68"/>
      <c r="C238" s="30"/>
      <c r="D238" s="30"/>
      <c r="E238" s="30"/>
      <c r="F238" s="30"/>
      <c r="G238" s="69"/>
      <c r="H238" s="71"/>
      <c r="I238" s="71"/>
      <c r="J238" s="71"/>
      <c r="K238" s="69"/>
      <c r="L238" s="69"/>
      <c r="M238" s="30"/>
      <c r="N238" s="30"/>
      <c r="O238" s="30"/>
      <c r="P238" s="70"/>
      <c r="Q238" s="70"/>
      <c r="R238" s="30"/>
      <c r="S238" s="30"/>
      <c r="T238" s="30"/>
    </row>
    <row r="248" spans="1:18" ht="27" customHeight="1" x14ac:dyDescent="0.25">
      <c r="A248" s="293" t="s">
        <v>163</v>
      </c>
      <c r="B248" s="293"/>
      <c r="C248" s="56" t="s">
        <v>165</v>
      </c>
      <c r="D248" s="56"/>
      <c r="E248" s="56"/>
      <c r="F248" s="294" t="s">
        <v>338</v>
      </c>
      <c r="G248" s="294"/>
      <c r="H248" s="294"/>
      <c r="I248" s="294"/>
      <c r="J248" s="294"/>
      <c r="K248" s="294"/>
      <c r="L248" s="294"/>
      <c r="M248" s="64" t="s">
        <v>167</v>
      </c>
      <c r="N248" s="65">
        <v>44409</v>
      </c>
      <c r="Q248" s="56"/>
      <c r="R248" s="56"/>
    </row>
    <row r="249" spans="1:18" ht="27" customHeight="1" thickBot="1" x14ac:dyDescent="0.3">
      <c r="A249" s="296" t="s">
        <v>164</v>
      </c>
      <c r="B249" s="296"/>
      <c r="C249" s="63" t="s">
        <v>166</v>
      </c>
      <c r="D249" s="63"/>
      <c r="E249" s="62"/>
      <c r="F249" s="295"/>
      <c r="G249" s="295"/>
      <c r="H249" s="295"/>
      <c r="I249" s="295"/>
      <c r="J249" s="295"/>
      <c r="K249" s="295"/>
      <c r="L249" s="295"/>
      <c r="M249" s="72" t="s">
        <v>168</v>
      </c>
      <c r="N249" s="73">
        <v>0.91666666666666663</v>
      </c>
      <c r="Q249" s="9"/>
      <c r="R249" s="9"/>
    </row>
    <row r="250" spans="1:18" x14ac:dyDescent="0.25">
      <c r="A250" s="58" t="s">
        <v>0</v>
      </c>
      <c r="B250" s="57" t="s">
        <v>20</v>
      </c>
      <c r="C250" s="27" t="s">
        <v>340</v>
      </c>
      <c r="D250" s="93" t="s">
        <v>139</v>
      </c>
      <c r="E250" s="93" t="s">
        <v>137</v>
      </c>
      <c r="F250" s="93" t="s">
        <v>144</v>
      </c>
      <c r="G250" s="93" t="s">
        <v>169</v>
      </c>
      <c r="H250" s="60" t="s">
        <v>170</v>
      </c>
      <c r="I250" s="75" t="s">
        <v>147</v>
      </c>
      <c r="J250" s="75" t="s">
        <v>148</v>
      </c>
      <c r="K250" s="75" t="s">
        <v>149</v>
      </c>
      <c r="L250" s="77" t="s">
        <v>150</v>
      </c>
      <c r="M250" s="9"/>
      <c r="N250" s="9"/>
      <c r="O250" s="9"/>
      <c r="P250" s="9"/>
    </row>
    <row r="251" spans="1:18" x14ac:dyDescent="0.25">
      <c r="A251" s="15"/>
      <c r="B251" s="49" t="s">
        <v>142</v>
      </c>
      <c r="C251" s="52">
        <v>25</v>
      </c>
      <c r="D251" s="50">
        <v>10</v>
      </c>
      <c r="E251" s="50">
        <v>25</v>
      </c>
      <c r="F251" s="50">
        <v>40</v>
      </c>
      <c r="G251" s="53">
        <v>65</v>
      </c>
      <c r="H251" s="54">
        <v>65</v>
      </c>
      <c r="I251" s="55">
        <v>100</v>
      </c>
      <c r="J251" s="55" t="s">
        <v>151</v>
      </c>
      <c r="K251" s="54" t="s">
        <v>152</v>
      </c>
      <c r="L251" s="78" t="s">
        <v>153</v>
      </c>
    </row>
    <row r="252" spans="1:18" x14ac:dyDescent="0.25">
      <c r="A252" s="1" t="s">
        <v>57</v>
      </c>
      <c r="B252" s="29" t="s">
        <v>58</v>
      </c>
      <c r="C252" s="34">
        <v>14.5</v>
      </c>
      <c r="D252" s="31">
        <v>6</v>
      </c>
      <c r="E252" s="28">
        <v>2.5</v>
      </c>
      <c r="F252" s="28">
        <v>19.5</v>
      </c>
      <c r="G252" s="28">
        <f>SUM(Second_Semester_Fundamental_Website_Development_Lab[[#This Row],[Assignment]:[Final]])</f>
        <v>22</v>
      </c>
      <c r="H252" s="42">
        <f>ROUND(Second_Semester_Fundamental_Website_Development_Lab[[#This Row],[Ass &amp; Final]],0)</f>
        <v>22</v>
      </c>
      <c r="I252" s="42">
        <f>SUM(C252,D252,H252)</f>
        <v>42.5</v>
      </c>
      <c r="J252" s="46" t="str">
        <f>IF(I252&gt;79,"A+",IF(I252&gt;74,"A",IF(I252&gt;69,"A-",IF(I252&gt;64,"B+",IF(I252&gt;59,"B",IF(I252&gt;54,"B-",IF(I252&gt;49,"C+",IF(I252&gt;44,"C",IF(I252&gt;39,"D",IF(I252&gt;0,"F","N/A"))))))))))</f>
        <v>D</v>
      </c>
      <c r="K252" s="44" t="str">
        <f>IF(I252&gt;79,"4.00",IF(I252&gt;74,"3.75",IF(I252&gt;69,"3.50",IF(I252&gt;64,"3.25",IF(I252&gt;59,"3.00",IF(I252&gt;54,"2.75",IF(I252&gt;49,"2.50",IF(I252&gt;44,"2.25",IF(I252&gt;39,"2.00",IF(I252&gt;0,"0.00","N/A"))))))))))</f>
        <v>2.00</v>
      </c>
      <c r="L252" s="79" t="str">
        <f>IF(I252&gt;79,"Outstanding",IF(I252&gt;74,"Excellent",IF(I252&gt;69,"Very Good",IF(I252&gt;64,"Good",IF(I252&gt;59,"Satisfactory",IF(I252&gt;54,"Above Average",IF(I252&gt;49,"Average",IF(I252&gt;44,"Bellow Average",IF(I252&gt;39,"Pass",IF(I252&gt;0,"Fail","N/A"))))))))))</f>
        <v>Pass</v>
      </c>
    </row>
    <row r="253" spans="1:18" x14ac:dyDescent="0.25">
      <c r="A253" s="1" t="s">
        <v>56</v>
      </c>
      <c r="B253" s="29" t="s">
        <v>59</v>
      </c>
      <c r="C253" s="34">
        <v>14.5</v>
      </c>
      <c r="D253" s="31">
        <v>8</v>
      </c>
      <c r="E253" s="28">
        <v>19</v>
      </c>
      <c r="F253" s="28">
        <v>39.5</v>
      </c>
      <c r="G253" s="28">
        <f>SUM(Second_Semester_Fundamental_Website_Development_Lab[[#This Row],[Assignment]:[Final]])</f>
        <v>58.5</v>
      </c>
      <c r="H253" s="42">
        <f>ROUND(Second_Semester_Fundamental_Website_Development_Lab[[#This Row],[Ass &amp; Final]],0)</f>
        <v>59</v>
      </c>
      <c r="I253" s="42">
        <f t="shared" ref="I253:I257" si="28">SUM(C253,D253,H253)</f>
        <v>81.5</v>
      </c>
      <c r="J253" s="46" t="str">
        <f t="shared" ref="J253:J279" si="29">IF(I253&gt;79,"A+",IF(I253&gt;74,"A",IF(I253&gt;69,"A-",IF(I253&gt;64,"B+",IF(I253&gt;59,"B",IF(I253&gt;54,"B-",IF(I253&gt;49,"C+",IF(I253&gt;44,"C",IF(I253&gt;39,"D",IF(I253&gt;0,"F","N/A"))))))))))</f>
        <v>A+</v>
      </c>
      <c r="K253" s="44" t="str">
        <f t="shared" ref="K253:K279" si="30">IF(I253&gt;79,"4.00",IF(I253&gt;74,"3.75",IF(I253&gt;69,"3.50",IF(I253&gt;64,"3.25",IF(I253&gt;59,"3.00",IF(I253&gt;54,"2.75",IF(I253&gt;49,"2.50",IF(I253&gt;44,"2.25",IF(I253&gt;39,"2.00",IF(I253&gt;0,"0.00","N/A"))))))))))</f>
        <v>4.00</v>
      </c>
      <c r="L253" s="79" t="str">
        <f t="shared" ref="L253:L279" si="31">IF(I253&gt;79,"Outstanding",IF(I253&gt;74,"Excellent",IF(I253&gt;69,"Very Good",IF(I253&gt;64,"Good",IF(I253&gt;59,"Satisfactory",IF(I253&gt;54,"Above Average",IF(I253&gt;49,"Average",IF(I253&gt;44,"Bellow Average",IF(I253&gt;39,"Pass",IF(I253&gt;0,"Fail","N/A"))))))))))</f>
        <v>Outstanding</v>
      </c>
    </row>
    <row r="254" spans="1:18" x14ac:dyDescent="0.25">
      <c r="A254" s="1" t="s">
        <v>1</v>
      </c>
      <c r="B254" s="29" t="s">
        <v>27</v>
      </c>
      <c r="C254" s="34">
        <v>14.5</v>
      </c>
      <c r="D254" s="31">
        <v>6</v>
      </c>
      <c r="E254" s="28">
        <v>14.5</v>
      </c>
      <c r="F254" s="28">
        <v>6</v>
      </c>
      <c r="G254" s="28">
        <f>SUM(Second_Semester_Fundamental_Website_Development_Lab[[#This Row],[Assignment]:[Final]])</f>
        <v>20.5</v>
      </c>
      <c r="H254" s="42">
        <f>ROUND(Second_Semester_Fundamental_Website_Development_Lab[[#This Row],[Ass &amp; Final]],0)</f>
        <v>21</v>
      </c>
      <c r="I254" s="42">
        <f t="shared" si="28"/>
        <v>41.5</v>
      </c>
      <c r="J254" s="46" t="str">
        <f t="shared" si="29"/>
        <v>D</v>
      </c>
      <c r="K254" s="44" t="str">
        <f t="shared" si="30"/>
        <v>2.00</v>
      </c>
      <c r="L254" s="34" t="str">
        <f t="shared" si="31"/>
        <v>Pass</v>
      </c>
    </row>
    <row r="255" spans="1:18" x14ac:dyDescent="0.25">
      <c r="A255" s="1" t="s">
        <v>2</v>
      </c>
      <c r="B255" s="29" t="s">
        <v>28</v>
      </c>
      <c r="C255" s="34">
        <v>18</v>
      </c>
      <c r="D255" s="31">
        <v>6</v>
      </c>
      <c r="E255" s="28">
        <v>13</v>
      </c>
      <c r="F255" s="28">
        <v>16</v>
      </c>
      <c r="G255" s="28">
        <f>SUM(Second_Semester_Fundamental_Website_Development_Lab[[#This Row],[Assignment]:[Final]])</f>
        <v>29</v>
      </c>
      <c r="H255" s="42">
        <f>ROUND(Second_Semester_Fundamental_Website_Development_Lab[[#This Row],[Ass &amp; Final]],0)</f>
        <v>29</v>
      </c>
      <c r="I255" s="42">
        <f t="shared" si="28"/>
        <v>53</v>
      </c>
      <c r="J255" s="46" t="str">
        <f t="shared" si="29"/>
        <v>C+</v>
      </c>
      <c r="K255" s="44" t="str">
        <f t="shared" si="30"/>
        <v>2.50</v>
      </c>
      <c r="L255" s="34" t="str">
        <f t="shared" si="31"/>
        <v>Average</v>
      </c>
    </row>
    <row r="256" spans="1:18" x14ac:dyDescent="0.25">
      <c r="A256" s="1" t="s">
        <v>3</v>
      </c>
      <c r="B256" s="29" t="s">
        <v>29</v>
      </c>
      <c r="C256" s="34">
        <v>5</v>
      </c>
      <c r="D256" s="31">
        <v>8</v>
      </c>
      <c r="E256" s="28">
        <v>15.5</v>
      </c>
      <c r="F256" s="28">
        <v>18.5</v>
      </c>
      <c r="G256" s="28">
        <f>SUM(Second_Semester_Fundamental_Website_Development_Lab[[#This Row],[Assignment]:[Final]])</f>
        <v>34</v>
      </c>
      <c r="H256" s="42">
        <f>ROUND(Second_Semester_Fundamental_Website_Development_Lab[[#This Row],[Ass &amp; Final]],0)</f>
        <v>34</v>
      </c>
      <c r="I256" s="42">
        <f t="shared" si="28"/>
        <v>47</v>
      </c>
      <c r="J256" s="46" t="str">
        <f t="shared" si="29"/>
        <v>C</v>
      </c>
      <c r="K256" s="44" t="str">
        <f t="shared" si="30"/>
        <v>2.25</v>
      </c>
      <c r="L256" s="34" t="str">
        <f t="shared" si="31"/>
        <v>Bellow Average</v>
      </c>
    </row>
    <row r="257" spans="1:12" x14ac:dyDescent="0.25">
      <c r="A257" s="1" t="s">
        <v>4</v>
      </c>
      <c r="B257" s="29" t="s">
        <v>30</v>
      </c>
      <c r="C257" s="34">
        <v>15</v>
      </c>
      <c r="D257" s="31">
        <v>8</v>
      </c>
      <c r="E257" s="28">
        <v>5</v>
      </c>
      <c r="F257" s="28">
        <v>22.5</v>
      </c>
      <c r="G257" s="28">
        <f>SUM(Second_Semester_Fundamental_Website_Development_Lab[[#This Row],[Assignment]:[Final]])</f>
        <v>27.5</v>
      </c>
      <c r="H257" s="42">
        <f>ROUND(Second_Semester_Fundamental_Website_Development_Lab[[#This Row],[Ass &amp; Final]],0)</f>
        <v>28</v>
      </c>
      <c r="I257" s="42">
        <f t="shared" si="28"/>
        <v>51</v>
      </c>
      <c r="J257" s="46" t="str">
        <f t="shared" si="29"/>
        <v>C+</v>
      </c>
      <c r="K257" s="44" t="str">
        <f t="shared" si="30"/>
        <v>2.50</v>
      </c>
      <c r="L257" s="34" t="str">
        <f t="shared" si="31"/>
        <v>Average</v>
      </c>
    </row>
    <row r="258" spans="1:12" x14ac:dyDescent="0.25">
      <c r="A258" s="6" t="s">
        <v>5</v>
      </c>
      <c r="B258" s="225" t="s">
        <v>31</v>
      </c>
      <c r="C258" s="219"/>
      <c r="D258" s="220"/>
      <c r="E258" s="221"/>
      <c r="F258" s="221"/>
      <c r="G258" s="221"/>
      <c r="H258" s="222"/>
      <c r="I258" s="222"/>
      <c r="J258" s="223"/>
      <c r="K258" s="224"/>
      <c r="L258" s="219"/>
    </row>
    <row r="259" spans="1:12" x14ac:dyDescent="0.25">
      <c r="A259" s="1" t="s">
        <v>6</v>
      </c>
      <c r="B259" s="29" t="s">
        <v>32</v>
      </c>
      <c r="C259" s="34">
        <v>1.5</v>
      </c>
      <c r="D259" s="31">
        <v>10</v>
      </c>
      <c r="E259" s="28">
        <v>3</v>
      </c>
      <c r="F259" s="28">
        <v>2</v>
      </c>
      <c r="G259" s="28">
        <f>SUM(Second_Semester_Fundamental_Website_Development_Lab[[#This Row],[Assignment]:[Final]])</f>
        <v>5</v>
      </c>
      <c r="H259" s="42">
        <f>ROUND(Second_Semester_Fundamental_Website_Development_Lab[[#This Row],[Ass &amp; Final]],0)</f>
        <v>5</v>
      </c>
      <c r="I259" s="42">
        <f t="shared" ref="I259" si="32">SUM(C259,D259,H259)</f>
        <v>16.5</v>
      </c>
      <c r="J259" s="46" t="str">
        <f t="shared" si="29"/>
        <v>F</v>
      </c>
      <c r="K259" s="44" t="str">
        <f t="shared" si="30"/>
        <v>0.00</v>
      </c>
      <c r="L259" s="34" t="str">
        <f t="shared" si="31"/>
        <v>Fail</v>
      </c>
    </row>
    <row r="260" spans="1:12" x14ac:dyDescent="0.25">
      <c r="A260" s="1" t="s">
        <v>7</v>
      </c>
      <c r="B260" s="29" t="s">
        <v>33</v>
      </c>
      <c r="C260" s="34">
        <v>12</v>
      </c>
      <c r="D260" s="31">
        <v>4</v>
      </c>
      <c r="E260" s="28">
        <v>6.5</v>
      </c>
      <c r="F260" s="28">
        <v>5.5</v>
      </c>
      <c r="G260" s="28">
        <f>SUM(Second_Semester_Fundamental_Website_Development_Lab[[#This Row],[Assignment]:[Final]])</f>
        <v>12</v>
      </c>
      <c r="H260" s="42">
        <f>ROUND(Second_Semester_Fundamental_Website_Development_Lab[[#This Row],[Ass &amp; Final]],0)</f>
        <v>12</v>
      </c>
      <c r="I260" s="42">
        <f>SUM(C260,D260,H260)</f>
        <v>28</v>
      </c>
      <c r="J260" s="46" t="str">
        <f t="shared" si="29"/>
        <v>F</v>
      </c>
      <c r="K260" s="44" t="str">
        <f t="shared" si="30"/>
        <v>0.00</v>
      </c>
      <c r="L260" s="34" t="str">
        <f t="shared" si="31"/>
        <v>Fail</v>
      </c>
    </row>
    <row r="261" spans="1:12" x14ac:dyDescent="0.25">
      <c r="A261" s="1" t="s">
        <v>8</v>
      </c>
      <c r="B261" s="29" t="s">
        <v>34</v>
      </c>
      <c r="C261" s="34">
        <v>25</v>
      </c>
      <c r="D261" s="31">
        <v>6</v>
      </c>
      <c r="E261" s="28">
        <v>8.5</v>
      </c>
      <c r="F261" s="28">
        <v>14</v>
      </c>
      <c r="G261" s="28">
        <f>SUM(Second_Semester_Fundamental_Website_Development_Lab[[#This Row],[Assignment]:[Final]])</f>
        <v>22.5</v>
      </c>
      <c r="H261" s="42">
        <f>ROUND(Second_Semester_Fundamental_Website_Development_Lab[[#This Row],[Ass &amp; Final]],0)</f>
        <v>23</v>
      </c>
      <c r="I261" s="42">
        <f t="shared" ref="I261:I276" si="33">SUM(C261,D261,H261)</f>
        <v>54</v>
      </c>
      <c r="J261" s="46" t="str">
        <f t="shared" si="29"/>
        <v>C+</v>
      </c>
      <c r="K261" s="44" t="str">
        <f t="shared" si="30"/>
        <v>2.50</v>
      </c>
      <c r="L261" s="34" t="str">
        <f t="shared" si="31"/>
        <v>Average</v>
      </c>
    </row>
    <row r="262" spans="1:12" x14ac:dyDescent="0.25">
      <c r="A262" s="1" t="s">
        <v>9</v>
      </c>
      <c r="B262" s="29" t="s">
        <v>35</v>
      </c>
      <c r="C262" s="34">
        <v>23</v>
      </c>
      <c r="D262" s="31">
        <v>4</v>
      </c>
      <c r="E262" s="28">
        <v>19.5</v>
      </c>
      <c r="F262" s="28">
        <v>9.5</v>
      </c>
      <c r="G262" s="28">
        <f>SUM(Second_Semester_Fundamental_Website_Development_Lab[[#This Row],[Assignment]:[Final]])</f>
        <v>29</v>
      </c>
      <c r="H262" s="42">
        <f>ROUND(Second_Semester_Fundamental_Website_Development_Lab[[#This Row],[Ass &amp; Final]],0)</f>
        <v>29</v>
      </c>
      <c r="I262" s="42">
        <f t="shared" si="33"/>
        <v>56</v>
      </c>
      <c r="J262" s="46" t="str">
        <f t="shared" si="29"/>
        <v>B-</v>
      </c>
      <c r="K262" s="44" t="str">
        <f t="shared" si="30"/>
        <v>2.75</v>
      </c>
      <c r="L262" s="34" t="str">
        <f t="shared" si="31"/>
        <v>Above Average</v>
      </c>
    </row>
    <row r="263" spans="1:12" x14ac:dyDescent="0.25">
      <c r="A263" s="1" t="s">
        <v>10</v>
      </c>
      <c r="B263" s="29" t="s">
        <v>36</v>
      </c>
      <c r="C263" s="34">
        <v>22</v>
      </c>
      <c r="D263" s="31">
        <v>10</v>
      </c>
      <c r="E263" s="28">
        <v>2</v>
      </c>
      <c r="F263" s="28">
        <v>19.5</v>
      </c>
      <c r="G263" s="28">
        <f>SUM(Second_Semester_Fundamental_Website_Development_Lab[[#This Row],[Assignment]:[Final]])</f>
        <v>21.5</v>
      </c>
      <c r="H263" s="42">
        <f>ROUND(Second_Semester_Fundamental_Website_Development_Lab[[#This Row],[Ass &amp; Final]],0)</f>
        <v>22</v>
      </c>
      <c r="I263" s="42">
        <f t="shared" si="33"/>
        <v>54</v>
      </c>
      <c r="J263" s="46" t="str">
        <f t="shared" si="29"/>
        <v>C+</v>
      </c>
      <c r="K263" s="44" t="str">
        <f t="shared" si="30"/>
        <v>2.50</v>
      </c>
      <c r="L263" s="34" t="str">
        <f t="shared" si="31"/>
        <v>Average</v>
      </c>
    </row>
    <row r="264" spans="1:12" x14ac:dyDescent="0.25">
      <c r="A264" s="6" t="s">
        <v>11</v>
      </c>
      <c r="B264" s="225" t="s">
        <v>31</v>
      </c>
      <c r="C264" s="219"/>
      <c r="D264" s="220"/>
      <c r="E264" s="221"/>
      <c r="F264" s="221"/>
      <c r="G264" s="221"/>
      <c r="H264" s="222"/>
      <c r="I264" s="222"/>
      <c r="J264" s="223"/>
      <c r="K264" s="224"/>
      <c r="L264" s="219"/>
    </row>
    <row r="265" spans="1:12" x14ac:dyDescent="0.25">
      <c r="A265" s="1" t="s">
        <v>12</v>
      </c>
      <c r="B265" s="29" t="s">
        <v>37</v>
      </c>
      <c r="C265" s="34">
        <v>4.5</v>
      </c>
      <c r="D265" s="31">
        <v>7</v>
      </c>
      <c r="E265" s="28">
        <v>7.5</v>
      </c>
      <c r="F265" s="28">
        <v>2</v>
      </c>
      <c r="G265" s="28">
        <f>SUM(Second_Semester_Fundamental_Website_Development_Lab[[#This Row],[Assignment]:[Final]])</f>
        <v>9.5</v>
      </c>
      <c r="H265" s="42">
        <f>ROUND(Second_Semester_Fundamental_Website_Development_Lab[[#This Row],[Ass &amp; Final]],0)</f>
        <v>10</v>
      </c>
      <c r="I265" s="42">
        <f t="shared" si="33"/>
        <v>21.5</v>
      </c>
      <c r="J265" s="46" t="str">
        <f t="shared" si="29"/>
        <v>F</v>
      </c>
      <c r="K265" s="44" t="str">
        <f t="shared" si="30"/>
        <v>0.00</v>
      </c>
      <c r="L265" s="34" t="str">
        <f t="shared" si="31"/>
        <v>Fail</v>
      </c>
    </row>
    <row r="266" spans="1:12" x14ac:dyDescent="0.25">
      <c r="A266" s="1" t="s">
        <v>13</v>
      </c>
      <c r="B266" s="29" t="s">
        <v>38</v>
      </c>
      <c r="C266" s="34">
        <v>11</v>
      </c>
      <c r="D266" s="31">
        <v>8</v>
      </c>
      <c r="E266" s="28">
        <v>15.5</v>
      </c>
      <c r="F266" s="28">
        <v>39.5</v>
      </c>
      <c r="G266" s="28">
        <f>SUM(Second_Semester_Fundamental_Website_Development_Lab[[#This Row],[Assignment]:[Final]])</f>
        <v>55</v>
      </c>
      <c r="H266" s="42">
        <f>ROUND(Second_Semester_Fundamental_Website_Development_Lab[[#This Row],[Ass &amp; Final]],0)</f>
        <v>55</v>
      </c>
      <c r="I266" s="42">
        <f t="shared" si="33"/>
        <v>74</v>
      </c>
      <c r="J266" s="46" t="str">
        <f t="shared" si="29"/>
        <v>A-</v>
      </c>
      <c r="K266" s="44" t="str">
        <f t="shared" si="30"/>
        <v>3.50</v>
      </c>
      <c r="L266" s="34" t="str">
        <f t="shared" si="31"/>
        <v>Very Good</v>
      </c>
    </row>
    <row r="267" spans="1:12" x14ac:dyDescent="0.25">
      <c r="A267" s="1" t="s">
        <v>14</v>
      </c>
      <c r="B267" s="29" t="s">
        <v>39</v>
      </c>
      <c r="C267" s="34">
        <v>12</v>
      </c>
      <c r="D267" s="31">
        <v>5</v>
      </c>
      <c r="E267" s="28">
        <v>19.5</v>
      </c>
      <c r="F267" s="28">
        <v>30.5</v>
      </c>
      <c r="G267" s="28">
        <f>SUM(Second_Semester_Fundamental_Website_Development_Lab[[#This Row],[Assignment]:[Final]])</f>
        <v>50</v>
      </c>
      <c r="H267" s="42">
        <f>ROUND(Second_Semester_Fundamental_Website_Development_Lab[[#This Row],[Ass &amp; Final]],0)</f>
        <v>50</v>
      </c>
      <c r="I267" s="42">
        <f t="shared" si="33"/>
        <v>67</v>
      </c>
      <c r="J267" s="46" t="str">
        <f t="shared" si="29"/>
        <v>B+</v>
      </c>
      <c r="K267" s="44" t="str">
        <f t="shared" si="30"/>
        <v>3.25</v>
      </c>
      <c r="L267" s="34" t="str">
        <f t="shared" si="31"/>
        <v>Good</v>
      </c>
    </row>
    <row r="268" spans="1:12" x14ac:dyDescent="0.25">
      <c r="A268" s="1" t="s">
        <v>15</v>
      </c>
      <c r="B268" s="29" t="s">
        <v>40</v>
      </c>
      <c r="C268" s="34">
        <v>4</v>
      </c>
      <c r="D268" s="31">
        <v>9</v>
      </c>
      <c r="E268" s="28">
        <v>16.5</v>
      </c>
      <c r="F268" s="28">
        <v>9</v>
      </c>
      <c r="G268" s="28">
        <f>SUM(Second_Semester_Fundamental_Website_Development_Lab[[#This Row],[Assignment]:[Final]])</f>
        <v>25.5</v>
      </c>
      <c r="H268" s="42">
        <f>ROUND(Second_Semester_Fundamental_Website_Development_Lab[[#This Row],[Ass &amp; Final]],0)</f>
        <v>26</v>
      </c>
      <c r="I268" s="42">
        <f t="shared" si="33"/>
        <v>39</v>
      </c>
      <c r="J268" s="46" t="str">
        <f t="shared" si="29"/>
        <v>F</v>
      </c>
      <c r="K268" s="44" t="str">
        <f t="shared" si="30"/>
        <v>0.00</v>
      </c>
      <c r="L268" s="34" t="str">
        <f t="shared" si="31"/>
        <v>Fail</v>
      </c>
    </row>
    <row r="269" spans="1:12" x14ac:dyDescent="0.25">
      <c r="A269" s="6" t="s">
        <v>16</v>
      </c>
      <c r="B269" s="225" t="s">
        <v>31</v>
      </c>
      <c r="C269" s="219"/>
      <c r="D269" s="220"/>
      <c r="E269" s="221"/>
      <c r="F269" s="221"/>
      <c r="G269" s="221"/>
      <c r="H269" s="222"/>
      <c r="I269" s="222"/>
      <c r="J269" s="223"/>
      <c r="K269" s="224"/>
      <c r="L269" s="219"/>
    </row>
    <row r="270" spans="1:12" x14ac:dyDescent="0.25">
      <c r="A270" s="1" t="s">
        <v>17</v>
      </c>
      <c r="B270" s="29" t="s">
        <v>41</v>
      </c>
      <c r="C270" s="34">
        <v>9</v>
      </c>
      <c r="D270" s="31">
        <v>10</v>
      </c>
      <c r="E270" s="28">
        <v>10.5</v>
      </c>
      <c r="F270" s="28">
        <v>37</v>
      </c>
      <c r="G270" s="28">
        <f>SUM(Second_Semester_Fundamental_Website_Development_Lab[[#This Row],[Assignment]:[Final]])</f>
        <v>47.5</v>
      </c>
      <c r="H270" s="42">
        <f>ROUND(Second_Semester_Fundamental_Website_Development_Lab[[#This Row],[Ass &amp; Final]],0)</f>
        <v>48</v>
      </c>
      <c r="I270" s="42">
        <f t="shared" si="33"/>
        <v>67</v>
      </c>
      <c r="J270" s="46" t="str">
        <f t="shared" si="29"/>
        <v>B+</v>
      </c>
      <c r="K270" s="44" t="str">
        <f t="shared" si="30"/>
        <v>3.25</v>
      </c>
      <c r="L270" s="34" t="str">
        <f t="shared" si="31"/>
        <v>Good</v>
      </c>
    </row>
    <row r="271" spans="1:12" x14ac:dyDescent="0.25">
      <c r="A271" s="1" t="s">
        <v>18</v>
      </c>
      <c r="B271" s="29" t="s">
        <v>42</v>
      </c>
      <c r="C271" s="34">
        <v>17</v>
      </c>
      <c r="D271" s="31">
        <v>9</v>
      </c>
      <c r="E271" s="28">
        <v>23</v>
      </c>
      <c r="F271" s="28">
        <v>8</v>
      </c>
      <c r="G271" s="28">
        <f>SUM(Second_Semester_Fundamental_Website_Development_Lab[[#This Row],[Assignment]:[Final]])</f>
        <v>31</v>
      </c>
      <c r="H271" s="42">
        <f>ROUND(Second_Semester_Fundamental_Website_Development_Lab[[#This Row],[Ass &amp; Final]],0)</f>
        <v>31</v>
      </c>
      <c r="I271" s="42">
        <f t="shared" si="33"/>
        <v>57</v>
      </c>
      <c r="J271" s="46" t="str">
        <f t="shared" si="29"/>
        <v>B-</v>
      </c>
      <c r="K271" s="44" t="str">
        <f t="shared" si="30"/>
        <v>2.75</v>
      </c>
      <c r="L271" s="34" t="str">
        <f t="shared" si="31"/>
        <v>Above Average</v>
      </c>
    </row>
    <row r="272" spans="1:12" x14ac:dyDescent="0.25">
      <c r="A272" s="1" t="s">
        <v>19</v>
      </c>
      <c r="B272" s="29" t="s">
        <v>43</v>
      </c>
      <c r="C272" s="34">
        <v>3</v>
      </c>
      <c r="D272" s="31">
        <v>7</v>
      </c>
      <c r="E272" s="28">
        <v>9</v>
      </c>
      <c r="F272" s="28">
        <v>33.5</v>
      </c>
      <c r="G272" s="28">
        <f>SUM(Second_Semester_Fundamental_Website_Development_Lab[[#This Row],[Assignment]:[Final]])</f>
        <v>42.5</v>
      </c>
      <c r="H272" s="42">
        <f>ROUND(Second_Semester_Fundamental_Website_Development_Lab[[#This Row],[Ass &amp; Final]],0)</f>
        <v>43</v>
      </c>
      <c r="I272" s="42">
        <f t="shared" si="33"/>
        <v>53</v>
      </c>
      <c r="J272" s="46" t="str">
        <f t="shared" si="29"/>
        <v>C+</v>
      </c>
      <c r="K272" s="44" t="str">
        <f t="shared" si="30"/>
        <v>2.50</v>
      </c>
      <c r="L272" s="34" t="str">
        <f t="shared" si="31"/>
        <v>Average</v>
      </c>
    </row>
    <row r="273" spans="1:12" x14ac:dyDescent="0.25">
      <c r="A273" s="1" t="s">
        <v>23</v>
      </c>
      <c r="B273" s="29" t="s">
        <v>44</v>
      </c>
      <c r="C273" s="34">
        <v>11</v>
      </c>
      <c r="D273" s="31">
        <v>9</v>
      </c>
      <c r="E273" s="28">
        <v>18.5</v>
      </c>
      <c r="F273" s="28">
        <v>19</v>
      </c>
      <c r="G273" s="28">
        <f>SUM(Second_Semester_Fundamental_Website_Development_Lab[[#This Row],[Assignment]:[Final]])</f>
        <v>37.5</v>
      </c>
      <c r="H273" s="42">
        <f>ROUND(Second_Semester_Fundamental_Website_Development_Lab[[#This Row],[Ass &amp; Final]],0)</f>
        <v>38</v>
      </c>
      <c r="I273" s="42">
        <f t="shared" si="33"/>
        <v>58</v>
      </c>
      <c r="J273" s="46" t="str">
        <f t="shared" si="29"/>
        <v>B-</v>
      </c>
      <c r="K273" s="44" t="str">
        <f t="shared" si="30"/>
        <v>2.75</v>
      </c>
      <c r="L273" s="34" t="str">
        <f t="shared" si="31"/>
        <v>Above Average</v>
      </c>
    </row>
    <row r="274" spans="1:12" x14ac:dyDescent="0.25">
      <c r="A274" s="1" t="s">
        <v>24</v>
      </c>
      <c r="B274" s="29" t="s">
        <v>45</v>
      </c>
      <c r="C274" s="34">
        <v>2</v>
      </c>
      <c r="D274" s="31">
        <v>3</v>
      </c>
      <c r="E274" s="28">
        <v>13</v>
      </c>
      <c r="F274" s="28">
        <v>23</v>
      </c>
      <c r="G274" s="28">
        <f>SUM(Second_Semester_Fundamental_Website_Development_Lab[[#This Row],[Assignment]:[Final]])</f>
        <v>36</v>
      </c>
      <c r="H274" s="42">
        <f>ROUND(Second_Semester_Fundamental_Website_Development_Lab[[#This Row],[Ass &amp; Final]],0)</f>
        <v>36</v>
      </c>
      <c r="I274" s="42">
        <f t="shared" si="33"/>
        <v>41</v>
      </c>
      <c r="J274" s="46" t="str">
        <f t="shared" si="29"/>
        <v>D</v>
      </c>
      <c r="K274" s="44" t="str">
        <f t="shared" si="30"/>
        <v>2.00</v>
      </c>
      <c r="L274" s="34" t="str">
        <f t="shared" si="31"/>
        <v>Pass</v>
      </c>
    </row>
    <row r="275" spans="1:12" x14ac:dyDescent="0.25">
      <c r="A275" s="1" t="s">
        <v>25</v>
      </c>
      <c r="B275" s="29" t="s">
        <v>46</v>
      </c>
      <c r="C275" s="34">
        <v>1.5</v>
      </c>
      <c r="D275" s="31">
        <v>7</v>
      </c>
      <c r="E275" s="28">
        <v>6</v>
      </c>
      <c r="F275" s="28">
        <v>2</v>
      </c>
      <c r="G275" s="28">
        <f>SUM(Second_Semester_Fundamental_Website_Development_Lab[[#This Row],[Assignment]:[Final]])</f>
        <v>8</v>
      </c>
      <c r="H275" s="42">
        <f>ROUND(Second_Semester_Fundamental_Website_Development_Lab[[#This Row],[Ass &amp; Final]],0)</f>
        <v>8</v>
      </c>
      <c r="I275" s="42">
        <f t="shared" si="33"/>
        <v>16.5</v>
      </c>
      <c r="J275" s="46" t="str">
        <f t="shared" si="29"/>
        <v>F</v>
      </c>
      <c r="K275" s="44" t="str">
        <f t="shared" si="30"/>
        <v>0.00</v>
      </c>
      <c r="L275" s="34" t="str">
        <f t="shared" si="31"/>
        <v>Fail</v>
      </c>
    </row>
    <row r="276" spans="1:12" x14ac:dyDescent="0.25">
      <c r="A276" s="1" t="s">
        <v>26</v>
      </c>
      <c r="B276" s="29" t="s">
        <v>47</v>
      </c>
      <c r="C276" s="34">
        <v>17.5</v>
      </c>
      <c r="D276" s="31">
        <v>4</v>
      </c>
      <c r="E276" s="28">
        <v>12</v>
      </c>
      <c r="F276" s="28">
        <v>36</v>
      </c>
      <c r="G276" s="28">
        <f>SUM(Second_Semester_Fundamental_Website_Development_Lab[[#This Row],[Assignment]:[Final]])</f>
        <v>48</v>
      </c>
      <c r="H276" s="42">
        <f>ROUND(Second_Semester_Fundamental_Website_Development_Lab[[#This Row],[Ass &amp; Final]],0)</f>
        <v>48</v>
      </c>
      <c r="I276" s="42">
        <f t="shared" si="33"/>
        <v>69.5</v>
      </c>
      <c r="J276" s="46" t="str">
        <f t="shared" si="29"/>
        <v>A-</v>
      </c>
      <c r="K276" s="44" t="str">
        <f t="shared" si="30"/>
        <v>3.50</v>
      </c>
      <c r="L276" s="34" t="str">
        <f t="shared" si="31"/>
        <v>Very Good</v>
      </c>
    </row>
    <row r="277" spans="1:12" x14ac:dyDescent="0.25">
      <c r="A277" s="1" t="s">
        <v>50</v>
      </c>
      <c r="B277" s="29" t="s">
        <v>51</v>
      </c>
      <c r="C277" s="34">
        <v>22</v>
      </c>
      <c r="D277" s="31">
        <v>7</v>
      </c>
      <c r="E277" s="28">
        <v>21</v>
      </c>
      <c r="F277" s="28">
        <v>17</v>
      </c>
      <c r="G277" s="28">
        <f>SUM(Second_Semester_Fundamental_Website_Development_Lab[[#This Row],[Assignment]:[Final]])</f>
        <v>38</v>
      </c>
      <c r="H277" s="42">
        <f>ROUND(Second_Semester_Fundamental_Website_Development_Lab[[#This Row],[Ass &amp; Final]],0)</f>
        <v>38</v>
      </c>
      <c r="I277" s="42">
        <f>SUM(C277,D277,H277)</f>
        <v>67</v>
      </c>
      <c r="J277" s="46" t="str">
        <f t="shared" si="29"/>
        <v>B+</v>
      </c>
      <c r="K277" s="44" t="str">
        <f t="shared" si="30"/>
        <v>3.25</v>
      </c>
      <c r="L277" s="34" t="str">
        <f t="shared" si="31"/>
        <v>Good</v>
      </c>
    </row>
    <row r="278" spans="1:12" x14ac:dyDescent="0.25">
      <c r="A278" s="1" t="s">
        <v>53</v>
      </c>
      <c r="B278" s="29" t="s">
        <v>54</v>
      </c>
      <c r="C278" s="34">
        <v>13</v>
      </c>
      <c r="D278" s="31">
        <v>2</v>
      </c>
      <c r="E278" s="28">
        <v>9.5</v>
      </c>
      <c r="F278" s="28">
        <v>5</v>
      </c>
      <c r="G278" s="28">
        <f>SUM(Second_Semester_Fundamental_Website_Development_Lab[[#This Row],[Assignment]:[Final]])</f>
        <v>14.5</v>
      </c>
      <c r="H278" s="42">
        <f>ROUND(Second_Semester_Fundamental_Website_Development_Lab[[#This Row],[Ass &amp; Final]],0)</f>
        <v>15</v>
      </c>
      <c r="I278" s="42">
        <f t="shared" ref="I278:I279" si="34">SUM(C278,D278,H278)</f>
        <v>30</v>
      </c>
      <c r="J278" s="46" t="str">
        <f t="shared" si="29"/>
        <v>F</v>
      </c>
      <c r="K278" s="44" t="str">
        <f t="shared" si="30"/>
        <v>0.00</v>
      </c>
      <c r="L278" s="34" t="str">
        <f t="shared" si="31"/>
        <v>Fail</v>
      </c>
    </row>
    <row r="279" spans="1:12" ht="15.75" thickBot="1" x14ac:dyDescent="0.3">
      <c r="A279" s="122" t="s">
        <v>60</v>
      </c>
      <c r="B279" s="123" t="s">
        <v>61</v>
      </c>
      <c r="C279" s="124">
        <v>22.5</v>
      </c>
      <c r="D279" s="125">
        <v>7</v>
      </c>
      <c r="E279" s="126">
        <v>14</v>
      </c>
      <c r="F279" s="126">
        <v>23.5</v>
      </c>
      <c r="G279" s="126">
        <f>SUM(Second_Semester_Fundamental_Website_Development_Lab[[#This Row],[Assignment]:[Final]])</f>
        <v>37.5</v>
      </c>
      <c r="H279" s="127">
        <f>ROUND(Second_Semester_Fundamental_Website_Development_Lab[[#This Row],[Ass &amp; Final]],0)</f>
        <v>38</v>
      </c>
      <c r="I279" s="76">
        <f t="shared" si="34"/>
        <v>67.5</v>
      </c>
      <c r="J279" s="128" t="str">
        <f t="shared" si="29"/>
        <v>B+</v>
      </c>
      <c r="K279" s="129" t="str">
        <f t="shared" si="30"/>
        <v>3.25</v>
      </c>
      <c r="L279" s="124" t="str">
        <f t="shared" si="31"/>
        <v>Good</v>
      </c>
    </row>
    <row r="280" spans="1:12" s="110" customFormat="1" x14ac:dyDescent="0.25"/>
    <row r="281" spans="1:12" s="110" customFormat="1" x14ac:dyDescent="0.25"/>
    <row r="282" spans="1:12" s="110" customFormat="1" x14ac:dyDescent="0.25"/>
    <row r="283" spans="1:12" s="110" customFormat="1" x14ac:dyDescent="0.25"/>
    <row r="284" spans="1:12" s="110" customFormat="1" x14ac:dyDescent="0.25"/>
    <row r="285" spans="1:12" s="110" customFormat="1" x14ac:dyDescent="0.25"/>
    <row r="286" spans="1:12" s="110" customFormat="1" x14ac:dyDescent="0.25"/>
  </sheetData>
  <mergeCells count="16">
    <mergeCell ref="A13:T15"/>
    <mergeCell ref="A201:B201"/>
    <mergeCell ref="F201:L202"/>
    <mergeCell ref="A202:B202"/>
    <mergeCell ref="A248:B248"/>
    <mergeCell ref="F248:L249"/>
    <mergeCell ref="A249:B249"/>
    <mergeCell ref="A60:B60"/>
    <mergeCell ref="F60:L61"/>
    <mergeCell ref="A61:B61"/>
    <mergeCell ref="A154:B154"/>
    <mergeCell ref="F154:L155"/>
    <mergeCell ref="A155:B155"/>
    <mergeCell ref="A107:B107"/>
    <mergeCell ref="F107:L108"/>
    <mergeCell ref="A108:B108"/>
  </mergeCells>
  <pageMargins left="0.7" right="0.7" top="0.75" bottom="0.75" header="0.3" footer="0.3"/>
  <pageSetup orientation="portrait" horizontalDpi="300" verticalDpi="0" r:id="rId1"/>
  <ignoredErrors>
    <ignoredError sqref="E204:F204 D204 E251 C157 D157:E157 H157:J157 C63 C64:E69 D63:J63 H64:J69 M63:T63 M64:N69 C111:E116 C110:M110 H111:J116 C158:E163 D251 F251 D252:F257 D205:F210 H158:J163 D270:F279 D259:F263 D265:F268 D223:F232 D212:F216 D218:F221 C165:E169 H165:J169 C171:E174 H171:J174 C176:E185 H176:J185 C118:E122 H118:J122 C124:E127 H124:J127 C129:E138 H129:J138 C71:E75 H71:J75 M71:N75 C77:E80 H77:J80 M77:N80 C82:E91 H82:J91 M82:N91" calculatedColumn="1"/>
  </ignoredErrors>
  <drawing r:id="rId2"/>
  <tableParts count="6">
    <tablePart r:id="rId3"/>
    <tablePart r:id="rId4"/>
    <tablePart r:id="rId5"/>
    <tablePart r:id="rId6"/>
    <tablePart r:id="rId7"/>
    <tablePart r:id="rId8"/>
  </tableParts>
  <extLst>
    <ext xmlns:x15="http://schemas.microsoft.com/office/spreadsheetml/2010/11/main" uri="{3A4CF648-6AED-40f4-86FF-DC5316D8AED3}">
      <x14:slicerList xmlns:x14="http://schemas.microsoft.com/office/spreadsheetml/2009/9/main">
        <x14:slicer r:id="rId9"/>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8F0C693-D526-454B-B3FD-E694E4A29043}">
  <dimension ref="A5:X326"/>
  <sheetViews>
    <sheetView zoomScale="85" zoomScaleNormal="85" workbookViewId="0"/>
  </sheetViews>
  <sheetFormatPr defaultRowHeight="15" x14ac:dyDescent="0.25"/>
  <cols>
    <col min="1" max="1" width="10.5703125" bestFit="1" customWidth="1"/>
    <col min="2" max="2" width="27.5703125" bestFit="1" customWidth="1"/>
    <col min="3" max="3" width="32.140625" bestFit="1" customWidth="1"/>
    <col min="4" max="4" width="38.140625" bestFit="1" customWidth="1"/>
    <col min="5" max="5" width="52.140625" bestFit="1" customWidth="1"/>
    <col min="6" max="6" width="17.5703125" customWidth="1"/>
    <col min="7" max="7" width="22" bestFit="1" customWidth="1"/>
    <col min="8" max="8" width="36.140625" bestFit="1" customWidth="1"/>
    <col min="9" max="9" width="20.5703125" bestFit="1" customWidth="1"/>
    <col min="10" max="10" width="26.5703125" bestFit="1" customWidth="1"/>
    <col min="11" max="11" width="40.7109375" bestFit="1" customWidth="1"/>
    <col min="12" max="12" width="19.5703125" bestFit="1" customWidth="1"/>
    <col min="13" max="13" width="25.5703125" bestFit="1" customWidth="1"/>
    <col min="14" max="14" width="39.5703125" customWidth="1"/>
    <col min="15" max="15" width="24.140625" bestFit="1" customWidth="1"/>
    <col min="16" max="16" width="30.140625" bestFit="1" customWidth="1"/>
    <col min="17" max="17" width="44.140625" bestFit="1" customWidth="1"/>
    <col min="18" max="18" width="22.85546875" bestFit="1" customWidth="1"/>
    <col min="19" max="19" width="22" bestFit="1" customWidth="1"/>
    <col min="20" max="20" width="43" bestFit="1" customWidth="1"/>
    <col min="21" max="21" width="34.85546875" bestFit="1" customWidth="1"/>
    <col min="22" max="22" width="29.28515625" bestFit="1" customWidth="1"/>
    <col min="23" max="23" width="22" bestFit="1" customWidth="1"/>
  </cols>
  <sheetData>
    <row r="5" spans="1:23" x14ac:dyDescent="0.25">
      <c r="M5" s="110"/>
      <c r="N5" s="110"/>
      <c r="O5" s="110"/>
      <c r="P5" s="110"/>
      <c r="Q5" s="110"/>
      <c r="R5" s="110"/>
    </row>
    <row r="6" spans="1:23" x14ac:dyDescent="0.25">
      <c r="L6" s="9"/>
      <c r="M6" s="110"/>
      <c r="N6" s="110"/>
      <c r="O6" s="110"/>
      <c r="P6" s="110"/>
      <c r="Q6" s="110"/>
      <c r="R6" s="110"/>
    </row>
    <row r="7" spans="1:23" x14ac:dyDescent="0.25">
      <c r="L7" s="9"/>
      <c r="M7" s="110"/>
      <c r="N7" s="110"/>
      <c r="O7" s="110"/>
      <c r="P7" s="110"/>
      <c r="Q7" s="110"/>
      <c r="R7" s="110"/>
    </row>
    <row r="8" spans="1:23" x14ac:dyDescent="0.25">
      <c r="L8" s="9"/>
      <c r="M8" s="110"/>
      <c r="N8" s="110"/>
      <c r="O8" s="110"/>
      <c r="P8" s="110"/>
      <c r="Q8" s="110"/>
      <c r="R8" s="110"/>
    </row>
    <row r="9" spans="1:23" x14ac:dyDescent="0.25">
      <c r="L9" s="119"/>
      <c r="M9" s="119"/>
      <c r="N9" s="119"/>
      <c r="O9" s="120"/>
      <c r="P9" s="121"/>
      <c r="Q9" s="110"/>
      <c r="R9" s="110"/>
    </row>
    <row r="10" spans="1:23" x14ac:dyDescent="0.25">
      <c r="L10" s="9"/>
      <c r="M10" s="110"/>
      <c r="N10" s="110"/>
      <c r="O10" s="110"/>
      <c r="P10" s="110"/>
      <c r="Q10" s="110"/>
      <c r="R10" s="110"/>
    </row>
    <row r="13" spans="1:23" ht="15" customHeight="1" x14ac:dyDescent="0.25">
      <c r="A13" s="297" t="s">
        <v>393</v>
      </c>
      <c r="B13" s="297"/>
      <c r="C13" s="297"/>
      <c r="D13" s="297"/>
      <c r="E13" s="297"/>
      <c r="F13" s="297"/>
      <c r="G13" s="297"/>
      <c r="H13" s="297"/>
      <c r="I13" s="297"/>
      <c r="J13" s="297"/>
      <c r="K13" s="297"/>
      <c r="L13" s="297"/>
      <c r="M13" s="297"/>
      <c r="N13" s="297"/>
      <c r="O13" s="297"/>
      <c r="P13" s="297"/>
      <c r="Q13" s="297"/>
      <c r="R13" s="297"/>
      <c r="S13" s="297"/>
      <c r="T13" s="297"/>
      <c r="U13" s="297"/>
      <c r="V13" s="297"/>
      <c r="W13" s="297"/>
    </row>
    <row r="14" spans="1:23" ht="15" customHeight="1" x14ac:dyDescent="0.25">
      <c r="A14" s="297"/>
      <c r="B14" s="297"/>
      <c r="C14" s="297"/>
      <c r="D14" s="297"/>
      <c r="E14" s="297"/>
      <c r="F14" s="297"/>
      <c r="G14" s="297"/>
      <c r="H14" s="297"/>
      <c r="I14" s="297"/>
      <c r="J14" s="297"/>
      <c r="K14" s="297"/>
      <c r="L14" s="297"/>
      <c r="M14" s="297"/>
      <c r="N14" s="297"/>
      <c r="O14" s="297"/>
      <c r="P14" s="297"/>
      <c r="Q14" s="297"/>
      <c r="R14" s="297"/>
      <c r="S14" s="297"/>
      <c r="T14" s="297"/>
      <c r="U14" s="297"/>
      <c r="V14" s="297"/>
      <c r="W14" s="297"/>
    </row>
    <row r="15" spans="1:23" ht="15" customHeight="1" x14ac:dyDescent="0.25">
      <c r="A15" s="297"/>
      <c r="B15" s="297"/>
      <c r="C15" s="297"/>
      <c r="D15" s="297"/>
      <c r="E15" s="297"/>
      <c r="F15" s="297"/>
      <c r="G15" s="297"/>
      <c r="H15" s="297"/>
      <c r="I15" s="297"/>
      <c r="J15" s="297"/>
      <c r="K15" s="297"/>
      <c r="L15" s="297"/>
      <c r="M15" s="297"/>
      <c r="N15" s="297"/>
      <c r="O15" s="297"/>
      <c r="P15" s="297"/>
      <c r="Q15" s="297"/>
      <c r="R15" s="297"/>
      <c r="S15" s="297"/>
      <c r="T15" s="297"/>
      <c r="U15" s="297"/>
      <c r="V15" s="297"/>
      <c r="W15" s="297"/>
    </row>
    <row r="16" spans="1:23" x14ac:dyDescent="0.25">
      <c r="A16" s="1" t="s">
        <v>0</v>
      </c>
      <c r="B16" s="1" t="s">
        <v>20</v>
      </c>
      <c r="C16" s="1" t="s">
        <v>346</v>
      </c>
      <c r="D16" s="1" t="s">
        <v>351</v>
      </c>
      <c r="E16" s="1" t="s">
        <v>387</v>
      </c>
      <c r="F16" s="1" t="s">
        <v>347</v>
      </c>
      <c r="G16" s="1" t="s">
        <v>352</v>
      </c>
      <c r="H16" s="1" t="s">
        <v>388</v>
      </c>
      <c r="I16" s="1" t="s">
        <v>348</v>
      </c>
      <c r="J16" s="1" t="s">
        <v>353</v>
      </c>
      <c r="K16" s="1" t="s">
        <v>389</v>
      </c>
      <c r="L16" s="1" t="s">
        <v>349</v>
      </c>
      <c r="M16" s="1" t="s">
        <v>354</v>
      </c>
      <c r="N16" s="1" t="s">
        <v>390</v>
      </c>
      <c r="O16" s="1" t="s">
        <v>350</v>
      </c>
      <c r="P16" s="1" t="s">
        <v>355</v>
      </c>
      <c r="Q16" s="1" t="s">
        <v>391</v>
      </c>
      <c r="R16" s="1" t="s">
        <v>399</v>
      </c>
      <c r="S16" s="1" t="s">
        <v>400</v>
      </c>
      <c r="T16" s="1" t="s">
        <v>401</v>
      </c>
      <c r="U16" s="1" t="s">
        <v>429</v>
      </c>
      <c r="V16" s="98" t="s">
        <v>162</v>
      </c>
      <c r="W16" s="1" t="s">
        <v>392</v>
      </c>
    </row>
    <row r="17" spans="1:24" x14ac:dyDescent="0.25">
      <c r="A17" s="93" t="s">
        <v>57</v>
      </c>
      <c r="B17" s="98" t="s">
        <v>58</v>
      </c>
      <c r="C17" s="28" t="str">
        <f t="shared" ref="C17:C44" si="0">S64</f>
        <v>3.00</v>
      </c>
      <c r="D17" s="93">
        <v>3</v>
      </c>
      <c r="E17" s="103">
        <f>Third_Semester_SGPA[[#This Row],[Study and Communication Skills]]*Third_Semester_SGPA[[#This Row],[Study and Communication Skills Credit]]</f>
        <v>9</v>
      </c>
      <c r="F17" s="28" t="str">
        <f>O111</f>
        <v>4.00</v>
      </c>
      <c r="G17" s="93">
        <v>3</v>
      </c>
      <c r="H17" s="103">
        <f>Third_Semester_SGPA[[#This Row],[Data Structure]]*Third_Semester_SGPA[[#This Row],[Data Structure Credit]]</f>
        <v>12</v>
      </c>
      <c r="I17" s="28" t="str">
        <f>O158</f>
        <v>2.50</v>
      </c>
      <c r="J17" s="93">
        <v>3</v>
      </c>
      <c r="K17" s="103">
        <f>Third_Semester_SGPA[[#This Row],[Computer Network]]*Third_Semester_SGPA[[#This Row],[Computer Network Credit]]</f>
        <v>7.5</v>
      </c>
      <c r="L17" s="28" t="str">
        <f t="shared" ref="L17:L44" si="1">K205</f>
        <v>2.00</v>
      </c>
      <c r="M17" s="93">
        <v>1</v>
      </c>
      <c r="N17" s="103">
        <f>Third_Semester_SGPA[[#This Row],[Data Structure Lab]]*Third_Semester_SGPA[[#This Row],[Data Structure Lab Credit]]</f>
        <v>2</v>
      </c>
      <c r="O17" s="28" t="str">
        <f t="shared" ref="O17:O44" si="2">K252</f>
        <v>0.00</v>
      </c>
      <c r="P17" s="93">
        <v>1</v>
      </c>
      <c r="Q17" s="103">
        <f>Third_Semester_SGPA[[#This Row],[Computer Network Lab]]*Third_Semester_SGPA[[#This Row],[Computer Network Lab Credit]]</f>
        <v>0</v>
      </c>
      <c r="R17" s="28" t="str">
        <f t="shared" ref="R17:R44" si="3">S299</f>
        <v>4.00</v>
      </c>
      <c r="S17" s="103">
        <v>3</v>
      </c>
      <c r="T17" s="103">
        <f>Third_Semester_SGPA[[#This Row],[Discrete Mathematics]]*Third_Semester_SGPA[[#This Row],[Discrete Mathematics Credit]]</f>
        <v>12</v>
      </c>
      <c r="U17" s="103">
        <f t="shared" ref="U17:U44" si="4">SUM(E17,H17,K17,N17,Q17,T17)</f>
        <v>42.5</v>
      </c>
      <c r="V17" s="93">
        <f t="shared" ref="V17:V44" si="5">SUM(D17,G17,J17,M17,P17,S17)</f>
        <v>14</v>
      </c>
      <c r="W17" s="28">
        <f>Third_Semester_SGPA[[#This Row],[Total Subject (Total Grade + Credit)]]/Third_Semester_SGPA[[#This Row],[Total Subject Credit]]</f>
        <v>3.0357142857142856</v>
      </c>
    </row>
    <row r="18" spans="1:24" x14ac:dyDescent="0.25">
      <c r="A18" s="93" t="s">
        <v>56</v>
      </c>
      <c r="B18" s="98" t="s">
        <v>59</v>
      </c>
      <c r="C18" s="28" t="str">
        <f t="shared" si="0"/>
        <v>2.25</v>
      </c>
      <c r="D18" s="93">
        <v>3</v>
      </c>
      <c r="E18" s="103">
        <f>Third_Semester_SGPA[[#This Row],[Study and Communication Skills]]*Third_Semester_SGPA[[#This Row],[Study and Communication Skills Credit]]</f>
        <v>6.75</v>
      </c>
      <c r="F18" s="28" t="str">
        <f t="shared" ref="F18:F44" si="6">O112</f>
        <v>3.00</v>
      </c>
      <c r="G18" s="93">
        <v>3</v>
      </c>
      <c r="H18" s="103">
        <f>Third_Semester_SGPA[[#This Row],[Data Structure]]*Third_Semester_SGPA[[#This Row],[Data Structure Credit]]</f>
        <v>9</v>
      </c>
      <c r="I18" s="28" t="str">
        <f t="shared" ref="I18:I44" si="7">O159</f>
        <v>2.25</v>
      </c>
      <c r="J18" s="93">
        <v>3</v>
      </c>
      <c r="K18" s="103">
        <f>Third_Semester_SGPA[[#This Row],[Computer Network]]*Third_Semester_SGPA[[#This Row],[Computer Network Credit]]</f>
        <v>6.75</v>
      </c>
      <c r="L18" s="28" t="str">
        <f t="shared" si="1"/>
        <v>0.00</v>
      </c>
      <c r="M18" s="93">
        <v>1</v>
      </c>
      <c r="N18" s="103">
        <f>Third_Semester_SGPA[[#This Row],[Data Structure Lab]]*Third_Semester_SGPA[[#This Row],[Data Structure Lab Credit]]</f>
        <v>0</v>
      </c>
      <c r="O18" s="28" t="str">
        <f t="shared" si="2"/>
        <v>2.25</v>
      </c>
      <c r="P18" s="93">
        <v>1</v>
      </c>
      <c r="Q18" s="103">
        <f>Third_Semester_SGPA[[#This Row],[Computer Network Lab]]*Third_Semester_SGPA[[#This Row],[Computer Network Lab Credit]]</f>
        <v>2.25</v>
      </c>
      <c r="R18" s="28" t="str">
        <f t="shared" si="3"/>
        <v>3.50</v>
      </c>
      <c r="S18" s="103">
        <v>3</v>
      </c>
      <c r="T18" s="103">
        <f>Third_Semester_SGPA[[#This Row],[Discrete Mathematics]]*Third_Semester_SGPA[[#This Row],[Discrete Mathematics Credit]]</f>
        <v>10.5</v>
      </c>
      <c r="U18" s="103">
        <f t="shared" si="4"/>
        <v>35.25</v>
      </c>
      <c r="V18" s="93">
        <f t="shared" si="5"/>
        <v>14</v>
      </c>
      <c r="W18" s="28">
        <f>Third_Semester_SGPA[[#This Row],[Total Subject (Total Grade + Credit)]]/Third_Semester_SGPA[[#This Row],[Total Subject Credit]]</f>
        <v>2.5178571428571428</v>
      </c>
    </row>
    <row r="19" spans="1:24" x14ac:dyDescent="0.25">
      <c r="A19" s="93" t="s">
        <v>1</v>
      </c>
      <c r="B19" s="98" t="s">
        <v>27</v>
      </c>
      <c r="C19" s="28" t="str">
        <f t="shared" si="0"/>
        <v>2.75</v>
      </c>
      <c r="D19" s="93">
        <v>3</v>
      </c>
      <c r="E19" s="103">
        <f>Third_Semester_SGPA[[#This Row],[Study and Communication Skills]]*Third_Semester_SGPA[[#This Row],[Study and Communication Skills Credit]]</f>
        <v>8.25</v>
      </c>
      <c r="F19" s="28" t="str">
        <f t="shared" si="6"/>
        <v>2.25</v>
      </c>
      <c r="G19" s="93">
        <v>3</v>
      </c>
      <c r="H19" s="103">
        <f>Third_Semester_SGPA[[#This Row],[Data Structure]]*Third_Semester_SGPA[[#This Row],[Data Structure Credit]]</f>
        <v>6.75</v>
      </c>
      <c r="I19" s="28" t="str">
        <f t="shared" si="7"/>
        <v>0.00</v>
      </c>
      <c r="J19" s="93">
        <v>3</v>
      </c>
      <c r="K19" s="103">
        <f>Third_Semester_SGPA[[#This Row],[Computer Network]]*Third_Semester_SGPA[[#This Row],[Computer Network Credit]]</f>
        <v>0</v>
      </c>
      <c r="L19" s="28" t="str">
        <f t="shared" si="1"/>
        <v>2.75</v>
      </c>
      <c r="M19" s="93">
        <v>1</v>
      </c>
      <c r="N19" s="103">
        <f>Third_Semester_SGPA[[#This Row],[Data Structure Lab]]*Third_Semester_SGPA[[#This Row],[Data Structure Lab Credit]]</f>
        <v>2.75</v>
      </c>
      <c r="O19" s="28" t="str">
        <f t="shared" si="2"/>
        <v>3.00</v>
      </c>
      <c r="P19" s="93">
        <v>1</v>
      </c>
      <c r="Q19" s="103">
        <f>Third_Semester_SGPA[[#This Row],[Computer Network Lab]]*Third_Semester_SGPA[[#This Row],[Computer Network Lab Credit]]</f>
        <v>3</v>
      </c>
      <c r="R19" s="28" t="str">
        <f t="shared" si="3"/>
        <v>3.25</v>
      </c>
      <c r="S19" s="103">
        <v>3</v>
      </c>
      <c r="T19" s="103">
        <f>Third_Semester_SGPA[[#This Row],[Discrete Mathematics]]*Third_Semester_SGPA[[#This Row],[Discrete Mathematics Credit]]</f>
        <v>9.75</v>
      </c>
      <c r="U19" s="103">
        <f t="shared" si="4"/>
        <v>30.5</v>
      </c>
      <c r="V19" s="93">
        <f t="shared" si="5"/>
        <v>14</v>
      </c>
      <c r="W19" s="28">
        <f>Third_Semester_SGPA[[#This Row],[Total Subject (Total Grade + Credit)]]/Third_Semester_SGPA[[#This Row],[Total Subject Credit]]</f>
        <v>2.1785714285714284</v>
      </c>
    </row>
    <row r="20" spans="1:24" x14ac:dyDescent="0.25">
      <c r="A20" s="93" t="s">
        <v>2</v>
      </c>
      <c r="B20" s="98" t="s">
        <v>28</v>
      </c>
      <c r="C20" s="28" t="str">
        <f t="shared" si="0"/>
        <v>2.25</v>
      </c>
      <c r="D20" s="93">
        <v>3</v>
      </c>
      <c r="E20" s="103">
        <f>Third_Semester_SGPA[[#This Row],[Study and Communication Skills]]*Third_Semester_SGPA[[#This Row],[Study and Communication Skills Credit]]</f>
        <v>6.75</v>
      </c>
      <c r="F20" s="28" t="str">
        <f t="shared" si="6"/>
        <v>0.00</v>
      </c>
      <c r="G20" s="93">
        <v>3</v>
      </c>
      <c r="H20" s="103">
        <f>Third_Semester_SGPA[[#This Row],[Data Structure]]*Third_Semester_SGPA[[#This Row],[Data Structure Credit]]</f>
        <v>0</v>
      </c>
      <c r="I20" s="28" t="str">
        <f t="shared" si="7"/>
        <v>2.50</v>
      </c>
      <c r="J20" s="93">
        <v>3</v>
      </c>
      <c r="K20" s="103">
        <f>Third_Semester_SGPA[[#This Row],[Computer Network]]*Third_Semester_SGPA[[#This Row],[Computer Network Credit]]</f>
        <v>7.5</v>
      </c>
      <c r="L20" s="28" t="str">
        <f t="shared" si="1"/>
        <v>2.50</v>
      </c>
      <c r="M20" s="93">
        <v>1</v>
      </c>
      <c r="N20" s="103">
        <f>Third_Semester_SGPA[[#This Row],[Data Structure Lab]]*Third_Semester_SGPA[[#This Row],[Data Structure Lab Credit]]</f>
        <v>2.5</v>
      </c>
      <c r="O20" s="28" t="str">
        <f t="shared" si="2"/>
        <v>0.00</v>
      </c>
      <c r="P20" s="93">
        <v>1</v>
      </c>
      <c r="Q20" s="103">
        <f>Third_Semester_SGPA[[#This Row],[Computer Network Lab]]*Third_Semester_SGPA[[#This Row],[Computer Network Lab Credit]]</f>
        <v>0</v>
      </c>
      <c r="R20" s="28" t="str">
        <f t="shared" si="3"/>
        <v>3.50</v>
      </c>
      <c r="S20" s="103">
        <v>3</v>
      </c>
      <c r="T20" s="103">
        <f>Third_Semester_SGPA[[#This Row],[Discrete Mathematics]]*Third_Semester_SGPA[[#This Row],[Discrete Mathematics Credit]]</f>
        <v>10.5</v>
      </c>
      <c r="U20" s="103">
        <f t="shared" si="4"/>
        <v>27.25</v>
      </c>
      <c r="V20" s="93">
        <f t="shared" si="5"/>
        <v>14</v>
      </c>
      <c r="W20" s="28">
        <f>Third_Semester_SGPA[[#This Row],[Total Subject (Total Grade + Credit)]]/Third_Semester_SGPA[[#This Row],[Total Subject Credit]]</f>
        <v>1.9464285714285714</v>
      </c>
    </row>
    <row r="21" spans="1:24" x14ac:dyDescent="0.25">
      <c r="A21" s="93" t="s">
        <v>3</v>
      </c>
      <c r="B21" s="98" t="s">
        <v>29</v>
      </c>
      <c r="C21" s="28" t="str">
        <f t="shared" si="0"/>
        <v>2.00</v>
      </c>
      <c r="D21" s="93">
        <v>3</v>
      </c>
      <c r="E21" s="103">
        <f>Third_Semester_SGPA[[#This Row],[Study and Communication Skills]]*Third_Semester_SGPA[[#This Row],[Study and Communication Skills Credit]]</f>
        <v>6</v>
      </c>
      <c r="F21" s="28" t="str">
        <f t="shared" si="6"/>
        <v>3.50</v>
      </c>
      <c r="G21" s="93">
        <v>3</v>
      </c>
      <c r="H21" s="103">
        <f>Third_Semester_SGPA[[#This Row],[Data Structure]]*Third_Semester_SGPA[[#This Row],[Data Structure Credit]]</f>
        <v>10.5</v>
      </c>
      <c r="I21" s="28" t="str">
        <f t="shared" si="7"/>
        <v>0.00</v>
      </c>
      <c r="J21" s="93">
        <v>3</v>
      </c>
      <c r="K21" s="103">
        <f>Third_Semester_SGPA[[#This Row],[Computer Network]]*Third_Semester_SGPA[[#This Row],[Computer Network Credit]]</f>
        <v>0</v>
      </c>
      <c r="L21" s="28" t="str">
        <f t="shared" si="1"/>
        <v>2.50</v>
      </c>
      <c r="M21" s="93">
        <v>1</v>
      </c>
      <c r="N21" s="103">
        <f>Third_Semester_SGPA[[#This Row],[Data Structure Lab]]*Third_Semester_SGPA[[#This Row],[Data Structure Lab Credit]]</f>
        <v>2.5</v>
      </c>
      <c r="O21" s="28" t="str">
        <f t="shared" si="2"/>
        <v>0.00</v>
      </c>
      <c r="P21" s="93">
        <v>1</v>
      </c>
      <c r="Q21" s="103">
        <f>Third_Semester_SGPA[[#This Row],[Computer Network Lab]]*Third_Semester_SGPA[[#This Row],[Computer Network Lab Credit]]</f>
        <v>0</v>
      </c>
      <c r="R21" s="28" t="str">
        <f t="shared" si="3"/>
        <v>4.00</v>
      </c>
      <c r="S21" s="103">
        <v>3</v>
      </c>
      <c r="T21" s="103">
        <f>Third_Semester_SGPA[[#This Row],[Discrete Mathematics]]*Third_Semester_SGPA[[#This Row],[Discrete Mathematics Credit]]</f>
        <v>12</v>
      </c>
      <c r="U21" s="103">
        <f t="shared" si="4"/>
        <v>31</v>
      </c>
      <c r="V21" s="93">
        <f t="shared" si="5"/>
        <v>14</v>
      </c>
      <c r="W21" s="28">
        <f>Third_Semester_SGPA[[#This Row],[Total Subject (Total Grade + Credit)]]/Third_Semester_SGPA[[#This Row],[Total Subject Credit]]</f>
        <v>2.2142857142857144</v>
      </c>
    </row>
    <row r="22" spans="1:24" x14ac:dyDescent="0.25">
      <c r="A22" s="93" t="s">
        <v>4</v>
      </c>
      <c r="B22" s="98" t="s">
        <v>30</v>
      </c>
      <c r="C22" s="28" t="str">
        <f t="shared" si="0"/>
        <v>3.50</v>
      </c>
      <c r="D22" s="93">
        <v>3</v>
      </c>
      <c r="E22" s="103">
        <f>Third_Semester_SGPA[[#This Row],[Study and Communication Skills]]*Third_Semester_SGPA[[#This Row],[Study and Communication Skills Credit]]</f>
        <v>10.5</v>
      </c>
      <c r="F22" s="28" t="str">
        <f t="shared" si="6"/>
        <v>3.25</v>
      </c>
      <c r="G22" s="93">
        <v>3</v>
      </c>
      <c r="H22" s="103">
        <f>Third_Semester_SGPA[[#This Row],[Data Structure]]*Third_Semester_SGPA[[#This Row],[Data Structure Credit]]</f>
        <v>9.75</v>
      </c>
      <c r="I22" s="28" t="str">
        <f t="shared" si="7"/>
        <v>3.75</v>
      </c>
      <c r="J22" s="93">
        <v>3</v>
      </c>
      <c r="K22" s="103">
        <f>Third_Semester_SGPA[[#This Row],[Computer Network]]*Third_Semester_SGPA[[#This Row],[Computer Network Credit]]</f>
        <v>11.25</v>
      </c>
      <c r="L22" s="28" t="str">
        <f t="shared" si="1"/>
        <v>2.00</v>
      </c>
      <c r="M22" s="93">
        <v>1</v>
      </c>
      <c r="N22" s="103">
        <f>Third_Semester_SGPA[[#This Row],[Data Structure Lab]]*Third_Semester_SGPA[[#This Row],[Data Structure Lab Credit]]</f>
        <v>2</v>
      </c>
      <c r="O22" s="28" t="str">
        <f t="shared" si="2"/>
        <v>2.25</v>
      </c>
      <c r="P22" s="93">
        <v>1</v>
      </c>
      <c r="Q22" s="103">
        <f>Third_Semester_SGPA[[#This Row],[Computer Network Lab]]*Third_Semester_SGPA[[#This Row],[Computer Network Lab Credit]]</f>
        <v>2.25</v>
      </c>
      <c r="R22" s="28" t="str">
        <f t="shared" si="3"/>
        <v>4.00</v>
      </c>
      <c r="S22" s="103">
        <v>3</v>
      </c>
      <c r="T22" s="103">
        <f>Third_Semester_SGPA[[#This Row],[Discrete Mathematics]]*Third_Semester_SGPA[[#This Row],[Discrete Mathematics Credit]]</f>
        <v>12</v>
      </c>
      <c r="U22" s="103">
        <f t="shared" si="4"/>
        <v>47.75</v>
      </c>
      <c r="V22" s="93">
        <f t="shared" si="5"/>
        <v>14</v>
      </c>
      <c r="W22" s="28">
        <f>Third_Semester_SGPA[[#This Row],[Total Subject (Total Grade + Credit)]]/Third_Semester_SGPA[[#This Row],[Total Subject Credit]]</f>
        <v>3.4107142857142856</v>
      </c>
    </row>
    <row r="23" spans="1:24" x14ac:dyDescent="0.25">
      <c r="A23" s="208" t="s">
        <v>5</v>
      </c>
      <c r="B23" s="207" t="s">
        <v>31</v>
      </c>
      <c r="C23" s="209"/>
      <c r="D23" s="208"/>
      <c r="E23" s="208"/>
      <c r="F23" s="209"/>
      <c r="G23" s="208"/>
      <c r="H23" s="208"/>
      <c r="I23" s="209"/>
      <c r="J23" s="208"/>
      <c r="K23" s="208"/>
      <c r="L23" s="209"/>
      <c r="M23" s="208"/>
      <c r="N23" s="208"/>
      <c r="O23" s="209"/>
      <c r="P23" s="208"/>
      <c r="Q23" s="208"/>
      <c r="R23" s="209"/>
      <c r="S23" s="208"/>
      <c r="T23" s="208"/>
      <c r="U23" s="208"/>
      <c r="V23" s="208"/>
      <c r="W23" s="209"/>
    </row>
    <row r="24" spans="1:24" x14ac:dyDescent="0.25">
      <c r="A24" s="93" t="s">
        <v>6</v>
      </c>
      <c r="B24" s="98" t="s">
        <v>32</v>
      </c>
      <c r="C24" s="28" t="str">
        <f t="shared" si="0"/>
        <v>2.75</v>
      </c>
      <c r="D24" s="93">
        <v>3</v>
      </c>
      <c r="E24" s="103">
        <f>Third_Semester_SGPA[[#This Row],[Study and Communication Skills]]*Third_Semester_SGPA[[#This Row],[Study and Communication Skills Credit]]</f>
        <v>8.25</v>
      </c>
      <c r="F24" s="28" t="str">
        <f t="shared" si="6"/>
        <v>0.00</v>
      </c>
      <c r="G24" s="93">
        <v>3</v>
      </c>
      <c r="H24" s="103">
        <f>Third_Semester_SGPA[[#This Row],[Data Structure]]*Third_Semester_SGPA[[#This Row],[Data Structure Credit]]</f>
        <v>0</v>
      </c>
      <c r="I24" s="28" t="str">
        <f t="shared" si="7"/>
        <v>2.25</v>
      </c>
      <c r="J24" s="93">
        <v>3</v>
      </c>
      <c r="K24" s="103">
        <f>Third_Semester_SGPA[[#This Row],[Computer Network]]*Third_Semester_SGPA[[#This Row],[Computer Network Credit]]</f>
        <v>6.75</v>
      </c>
      <c r="L24" s="28" t="str">
        <f t="shared" si="1"/>
        <v>2.50</v>
      </c>
      <c r="M24" s="93">
        <v>1</v>
      </c>
      <c r="N24" s="103">
        <f>Third_Semester_SGPA[[#This Row],[Data Structure Lab]]*Third_Semester_SGPA[[#This Row],[Data Structure Lab Credit]]</f>
        <v>2.5</v>
      </c>
      <c r="O24" s="28" t="str">
        <f t="shared" si="2"/>
        <v>2.75</v>
      </c>
      <c r="P24" s="93">
        <v>1</v>
      </c>
      <c r="Q24" s="103">
        <f>Third_Semester_SGPA[[#This Row],[Computer Network Lab]]*Third_Semester_SGPA[[#This Row],[Computer Network Lab Credit]]</f>
        <v>2.75</v>
      </c>
      <c r="R24" s="28" t="str">
        <f t="shared" si="3"/>
        <v>3.75</v>
      </c>
      <c r="S24" s="103">
        <v>3</v>
      </c>
      <c r="T24" s="103">
        <f>Third_Semester_SGPA[[#This Row],[Discrete Mathematics]]*Third_Semester_SGPA[[#This Row],[Discrete Mathematics Credit]]</f>
        <v>11.25</v>
      </c>
      <c r="U24" s="103">
        <f t="shared" si="4"/>
        <v>31.5</v>
      </c>
      <c r="V24" s="93">
        <f t="shared" si="5"/>
        <v>14</v>
      </c>
      <c r="W24" s="28">
        <f>Third_Semester_SGPA[[#This Row],[Total Subject (Total Grade + Credit)]]/Third_Semester_SGPA[[#This Row],[Total Subject Credit]]</f>
        <v>2.25</v>
      </c>
    </row>
    <row r="25" spans="1:24" x14ac:dyDescent="0.25">
      <c r="A25" s="93" t="s">
        <v>7</v>
      </c>
      <c r="B25" s="98" t="s">
        <v>33</v>
      </c>
      <c r="C25" s="28" t="str">
        <f t="shared" si="0"/>
        <v>0.00</v>
      </c>
      <c r="D25" s="93">
        <v>3</v>
      </c>
      <c r="E25" s="103">
        <f>Third_Semester_SGPA[[#This Row],[Study and Communication Skills]]*Third_Semester_SGPA[[#This Row],[Study and Communication Skills Credit]]</f>
        <v>0</v>
      </c>
      <c r="F25" s="28" t="str">
        <f t="shared" si="6"/>
        <v>2.25</v>
      </c>
      <c r="G25" s="93">
        <v>3</v>
      </c>
      <c r="H25" s="103">
        <f>Third_Semester_SGPA[[#This Row],[Data Structure]]*Third_Semester_SGPA[[#This Row],[Data Structure Credit]]</f>
        <v>6.75</v>
      </c>
      <c r="I25" s="28" t="str">
        <f t="shared" si="7"/>
        <v>2.50</v>
      </c>
      <c r="J25" s="93">
        <v>3</v>
      </c>
      <c r="K25" s="103">
        <f>Third_Semester_SGPA[[#This Row],[Computer Network]]*Third_Semester_SGPA[[#This Row],[Computer Network Credit]]</f>
        <v>7.5</v>
      </c>
      <c r="L25" s="28" t="str">
        <f t="shared" si="1"/>
        <v>3.50</v>
      </c>
      <c r="M25" s="93">
        <v>1</v>
      </c>
      <c r="N25" s="103">
        <f>Third_Semester_SGPA[[#This Row],[Data Structure Lab]]*Third_Semester_SGPA[[#This Row],[Data Structure Lab Credit]]</f>
        <v>3.5</v>
      </c>
      <c r="O25" s="28" t="str">
        <f t="shared" si="2"/>
        <v>4.00</v>
      </c>
      <c r="P25" s="93">
        <v>1</v>
      </c>
      <c r="Q25" s="103">
        <f>Third_Semester_SGPA[[#This Row],[Computer Network Lab]]*Third_Semester_SGPA[[#This Row],[Computer Network Lab Credit]]</f>
        <v>4</v>
      </c>
      <c r="R25" s="28" t="str">
        <f t="shared" si="3"/>
        <v>3.50</v>
      </c>
      <c r="S25" s="103">
        <v>3</v>
      </c>
      <c r="T25" s="103">
        <f>Third_Semester_SGPA[[#This Row],[Discrete Mathematics]]*Third_Semester_SGPA[[#This Row],[Discrete Mathematics Credit]]</f>
        <v>10.5</v>
      </c>
      <c r="U25" s="103">
        <f t="shared" si="4"/>
        <v>32.25</v>
      </c>
      <c r="V25" s="93">
        <f t="shared" si="5"/>
        <v>14</v>
      </c>
      <c r="W25" s="28">
        <f>Third_Semester_SGPA[[#This Row],[Total Subject (Total Grade + Credit)]]/Third_Semester_SGPA[[#This Row],[Total Subject Credit]]</f>
        <v>2.3035714285714284</v>
      </c>
    </row>
    <row r="26" spans="1:24" x14ac:dyDescent="0.25">
      <c r="A26" s="93" t="s">
        <v>8</v>
      </c>
      <c r="B26" s="98" t="s">
        <v>34</v>
      </c>
      <c r="C26" s="28" t="str">
        <f t="shared" si="0"/>
        <v>3.75</v>
      </c>
      <c r="D26" s="93">
        <v>3</v>
      </c>
      <c r="E26" s="103">
        <f>Third_Semester_SGPA[[#This Row],[Study and Communication Skills]]*Third_Semester_SGPA[[#This Row],[Study and Communication Skills Credit]]</f>
        <v>11.25</v>
      </c>
      <c r="F26" s="28" t="str">
        <f t="shared" si="6"/>
        <v>0.00</v>
      </c>
      <c r="G26" s="93">
        <v>3</v>
      </c>
      <c r="H26" s="103">
        <f>Third_Semester_SGPA[[#This Row],[Data Structure]]*Third_Semester_SGPA[[#This Row],[Data Structure Credit]]</f>
        <v>0</v>
      </c>
      <c r="I26" s="28" t="str">
        <f t="shared" si="7"/>
        <v>3.00</v>
      </c>
      <c r="J26" s="93">
        <v>3</v>
      </c>
      <c r="K26" s="103">
        <f>Third_Semester_SGPA[[#This Row],[Computer Network]]*Third_Semester_SGPA[[#This Row],[Computer Network Credit]]</f>
        <v>9</v>
      </c>
      <c r="L26" s="28" t="str">
        <f t="shared" si="1"/>
        <v>3.50</v>
      </c>
      <c r="M26" s="93">
        <v>1</v>
      </c>
      <c r="N26" s="103">
        <f>Third_Semester_SGPA[[#This Row],[Data Structure Lab]]*Third_Semester_SGPA[[#This Row],[Data Structure Lab Credit]]</f>
        <v>3.5</v>
      </c>
      <c r="O26" s="28" t="str">
        <f t="shared" si="2"/>
        <v>3.25</v>
      </c>
      <c r="P26" s="93">
        <v>1</v>
      </c>
      <c r="Q26" s="103">
        <f>Third_Semester_SGPA[[#This Row],[Computer Network Lab]]*Third_Semester_SGPA[[#This Row],[Computer Network Lab Credit]]</f>
        <v>3.25</v>
      </c>
      <c r="R26" s="28" t="str">
        <f t="shared" si="3"/>
        <v>3.75</v>
      </c>
      <c r="S26" s="103">
        <v>3</v>
      </c>
      <c r="T26" s="103">
        <f>Third_Semester_SGPA[[#This Row],[Discrete Mathematics]]*Third_Semester_SGPA[[#This Row],[Discrete Mathematics Credit]]</f>
        <v>11.25</v>
      </c>
      <c r="U26" s="103">
        <f t="shared" si="4"/>
        <v>38.25</v>
      </c>
      <c r="V26" s="93">
        <f t="shared" si="5"/>
        <v>14</v>
      </c>
      <c r="W26" s="28">
        <f>Third_Semester_SGPA[[#This Row],[Total Subject (Total Grade + Credit)]]/Third_Semester_SGPA[[#This Row],[Total Subject Credit]]</f>
        <v>2.7321428571428572</v>
      </c>
    </row>
    <row r="27" spans="1:24" x14ac:dyDescent="0.25">
      <c r="A27" s="93" t="s">
        <v>9</v>
      </c>
      <c r="B27" s="98" t="s">
        <v>35</v>
      </c>
      <c r="C27" s="28" t="str">
        <f t="shared" si="0"/>
        <v>3.00</v>
      </c>
      <c r="D27" s="93">
        <v>3</v>
      </c>
      <c r="E27" s="103">
        <f>Third_Semester_SGPA[[#This Row],[Study and Communication Skills]]*Third_Semester_SGPA[[#This Row],[Study and Communication Skills Credit]]</f>
        <v>9</v>
      </c>
      <c r="F27" s="28" t="str">
        <f t="shared" si="6"/>
        <v>3.00</v>
      </c>
      <c r="G27" s="93">
        <v>3</v>
      </c>
      <c r="H27" s="103">
        <f>Third_Semester_SGPA[[#This Row],[Data Structure]]*Third_Semester_SGPA[[#This Row],[Data Structure Credit]]</f>
        <v>9</v>
      </c>
      <c r="I27" s="28" t="str">
        <f t="shared" si="7"/>
        <v>2.50</v>
      </c>
      <c r="J27" s="93">
        <v>3</v>
      </c>
      <c r="K27" s="103">
        <f>Third_Semester_SGPA[[#This Row],[Computer Network]]*Third_Semester_SGPA[[#This Row],[Computer Network Credit]]</f>
        <v>7.5</v>
      </c>
      <c r="L27" s="28" t="str">
        <f t="shared" si="1"/>
        <v>0.00</v>
      </c>
      <c r="M27" s="93">
        <v>1</v>
      </c>
      <c r="N27" s="103">
        <f>Third_Semester_SGPA[[#This Row],[Data Structure Lab]]*Third_Semester_SGPA[[#This Row],[Data Structure Lab Credit]]</f>
        <v>0</v>
      </c>
      <c r="O27" s="28" t="str">
        <f t="shared" si="2"/>
        <v>2.25</v>
      </c>
      <c r="P27" s="93">
        <v>1</v>
      </c>
      <c r="Q27" s="103">
        <f>Third_Semester_SGPA[[#This Row],[Computer Network Lab]]*Third_Semester_SGPA[[#This Row],[Computer Network Lab Credit]]</f>
        <v>2.25</v>
      </c>
      <c r="R27" s="28" t="str">
        <f t="shared" si="3"/>
        <v>3.75</v>
      </c>
      <c r="S27" s="103">
        <v>3</v>
      </c>
      <c r="T27" s="103">
        <f>Third_Semester_SGPA[[#This Row],[Discrete Mathematics]]*Third_Semester_SGPA[[#This Row],[Discrete Mathematics Credit]]</f>
        <v>11.25</v>
      </c>
      <c r="U27" s="103">
        <f t="shared" si="4"/>
        <v>39</v>
      </c>
      <c r="V27" s="93">
        <f t="shared" si="5"/>
        <v>14</v>
      </c>
      <c r="W27" s="28">
        <f>Third_Semester_SGPA[[#This Row],[Total Subject (Total Grade + Credit)]]/Third_Semester_SGPA[[#This Row],[Total Subject Credit]]</f>
        <v>2.7857142857142856</v>
      </c>
    </row>
    <row r="28" spans="1:24" x14ac:dyDescent="0.25">
      <c r="A28" s="93" t="s">
        <v>10</v>
      </c>
      <c r="B28" s="98" t="s">
        <v>36</v>
      </c>
      <c r="C28" s="28" t="str">
        <f t="shared" si="0"/>
        <v>3.25</v>
      </c>
      <c r="D28" s="93">
        <v>3</v>
      </c>
      <c r="E28" s="103">
        <f>Third_Semester_SGPA[[#This Row],[Study and Communication Skills]]*Third_Semester_SGPA[[#This Row],[Study and Communication Skills Credit]]</f>
        <v>9.75</v>
      </c>
      <c r="F28" s="28" t="str">
        <f t="shared" si="6"/>
        <v>2.50</v>
      </c>
      <c r="G28" s="93">
        <v>3</v>
      </c>
      <c r="H28" s="103">
        <f>Third_Semester_SGPA[[#This Row],[Data Structure]]*Third_Semester_SGPA[[#This Row],[Data Structure Credit]]</f>
        <v>7.5</v>
      </c>
      <c r="I28" s="28" t="str">
        <f t="shared" si="7"/>
        <v>2.50</v>
      </c>
      <c r="J28" s="93">
        <v>3</v>
      </c>
      <c r="K28" s="103">
        <f>Third_Semester_SGPA[[#This Row],[Computer Network]]*Third_Semester_SGPA[[#This Row],[Computer Network Credit]]</f>
        <v>7.5</v>
      </c>
      <c r="L28" s="28" t="str">
        <f t="shared" si="1"/>
        <v>3.25</v>
      </c>
      <c r="M28" s="93">
        <v>1</v>
      </c>
      <c r="N28" s="103">
        <f>Third_Semester_SGPA[[#This Row],[Data Structure Lab]]*Third_Semester_SGPA[[#This Row],[Data Structure Lab Credit]]</f>
        <v>3.25</v>
      </c>
      <c r="O28" s="28" t="str">
        <f t="shared" si="2"/>
        <v>2.50</v>
      </c>
      <c r="P28" s="93">
        <v>1</v>
      </c>
      <c r="Q28" s="103">
        <f>Third_Semester_SGPA[[#This Row],[Computer Network Lab]]*Third_Semester_SGPA[[#This Row],[Computer Network Lab Credit]]</f>
        <v>2.5</v>
      </c>
      <c r="R28" s="28" t="str">
        <f t="shared" si="3"/>
        <v>3.75</v>
      </c>
      <c r="S28" s="103">
        <v>3</v>
      </c>
      <c r="T28" s="103">
        <f>Third_Semester_SGPA[[#This Row],[Discrete Mathematics]]*Third_Semester_SGPA[[#This Row],[Discrete Mathematics Credit]]</f>
        <v>11.25</v>
      </c>
      <c r="U28" s="103">
        <f t="shared" si="4"/>
        <v>41.75</v>
      </c>
      <c r="V28" s="93">
        <f t="shared" si="5"/>
        <v>14</v>
      </c>
      <c r="W28" s="28">
        <f>Third_Semester_SGPA[[#This Row],[Total Subject (Total Grade + Credit)]]/Third_Semester_SGPA[[#This Row],[Total Subject Credit]]</f>
        <v>2.9821428571428572</v>
      </c>
    </row>
    <row r="29" spans="1:24" x14ac:dyDescent="0.25">
      <c r="A29" s="208" t="s">
        <v>11</v>
      </c>
      <c r="B29" s="207" t="s">
        <v>31</v>
      </c>
      <c r="C29" s="209"/>
      <c r="D29" s="208"/>
      <c r="E29" s="208"/>
      <c r="F29" s="209"/>
      <c r="G29" s="208"/>
      <c r="H29" s="208"/>
      <c r="I29" s="209"/>
      <c r="J29" s="208"/>
      <c r="K29" s="208"/>
      <c r="L29" s="209"/>
      <c r="M29" s="208"/>
      <c r="N29" s="208"/>
      <c r="O29" s="209"/>
      <c r="P29" s="208"/>
      <c r="Q29" s="208"/>
      <c r="R29" s="209"/>
      <c r="S29" s="208"/>
      <c r="T29" s="208"/>
      <c r="U29" s="208"/>
      <c r="V29" s="208"/>
      <c r="W29" s="209"/>
      <c r="X29" s="21"/>
    </row>
    <row r="30" spans="1:24" x14ac:dyDescent="0.25">
      <c r="A30" s="93" t="s">
        <v>12</v>
      </c>
      <c r="B30" s="98" t="s">
        <v>37</v>
      </c>
      <c r="C30" s="28" t="str">
        <f t="shared" si="0"/>
        <v>2.25</v>
      </c>
      <c r="D30" s="93">
        <v>3</v>
      </c>
      <c r="E30" s="103">
        <f>Third_Semester_SGPA[[#This Row],[Study and Communication Skills]]*Third_Semester_SGPA[[#This Row],[Study and Communication Skills Credit]]</f>
        <v>6.75</v>
      </c>
      <c r="F30" s="28" t="str">
        <f t="shared" si="6"/>
        <v>4.00</v>
      </c>
      <c r="G30" s="93">
        <v>3</v>
      </c>
      <c r="H30" s="103">
        <f>Third_Semester_SGPA[[#This Row],[Data Structure]]*Third_Semester_SGPA[[#This Row],[Data Structure Credit]]</f>
        <v>12</v>
      </c>
      <c r="I30" s="28" t="str">
        <f t="shared" si="7"/>
        <v>2.50</v>
      </c>
      <c r="J30" s="93">
        <v>3</v>
      </c>
      <c r="K30" s="103">
        <f>Third_Semester_SGPA[[#This Row],[Computer Network]]*Third_Semester_SGPA[[#This Row],[Computer Network Credit]]</f>
        <v>7.5</v>
      </c>
      <c r="L30" s="28" t="str">
        <f t="shared" si="1"/>
        <v>2.50</v>
      </c>
      <c r="M30" s="93">
        <v>1</v>
      </c>
      <c r="N30" s="103">
        <f>Third_Semester_SGPA[[#This Row],[Data Structure Lab]]*Third_Semester_SGPA[[#This Row],[Data Structure Lab Credit]]</f>
        <v>2.5</v>
      </c>
      <c r="O30" s="28" t="str">
        <f t="shared" si="2"/>
        <v>0.00</v>
      </c>
      <c r="P30" s="93">
        <v>1</v>
      </c>
      <c r="Q30" s="103">
        <f>Third_Semester_SGPA[[#This Row],[Computer Network Lab]]*Third_Semester_SGPA[[#This Row],[Computer Network Lab Credit]]</f>
        <v>0</v>
      </c>
      <c r="R30" s="28" t="str">
        <f t="shared" si="3"/>
        <v>3.25</v>
      </c>
      <c r="S30" s="103">
        <v>3</v>
      </c>
      <c r="T30" s="103">
        <f>Third_Semester_SGPA[[#This Row],[Discrete Mathematics]]*Third_Semester_SGPA[[#This Row],[Discrete Mathematics Credit]]</f>
        <v>9.75</v>
      </c>
      <c r="U30" s="103">
        <f t="shared" si="4"/>
        <v>38.5</v>
      </c>
      <c r="V30" s="93">
        <f t="shared" si="5"/>
        <v>14</v>
      </c>
      <c r="W30" s="28">
        <f>Third_Semester_SGPA[[#This Row],[Total Subject (Total Grade + Credit)]]/Third_Semester_SGPA[[#This Row],[Total Subject Credit]]</f>
        <v>2.75</v>
      </c>
      <c r="X30" s="21"/>
    </row>
    <row r="31" spans="1:24" x14ac:dyDescent="0.25">
      <c r="A31" s="93" t="s">
        <v>13</v>
      </c>
      <c r="B31" s="98" t="s">
        <v>38</v>
      </c>
      <c r="C31" s="28" t="str">
        <f t="shared" si="0"/>
        <v>2.50</v>
      </c>
      <c r="D31" s="93">
        <v>3</v>
      </c>
      <c r="E31" s="103">
        <f>Third_Semester_SGPA[[#This Row],[Study and Communication Skills]]*Third_Semester_SGPA[[#This Row],[Study and Communication Skills Credit]]</f>
        <v>7.5</v>
      </c>
      <c r="F31" s="28" t="str">
        <f t="shared" si="6"/>
        <v>3.25</v>
      </c>
      <c r="G31" s="93">
        <v>3</v>
      </c>
      <c r="H31" s="103">
        <f>Third_Semester_SGPA[[#This Row],[Data Structure]]*Third_Semester_SGPA[[#This Row],[Data Structure Credit]]</f>
        <v>9.75</v>
      </c>
      <c r="I31" s="28" t="str">
        <f t="shared" si="7"/>
        <v>3.75</v>
      </c>
      <c r="J31" s="93">
        <v>3</v>
      </c>
      <c r="K31" s="103">
        <f>Third_Semester_SGPA[[#This Row],[Computer Network]]*Third_Semester_SGPA[[#This Row],[Computer Network Credit]]</f>
        <v>11.25</v>
      </c>
      <c r="L31" s="28" t="str">
        <f t="shared" si="1"/>
        <v>2.75</v>
      </c>
      <c r="M31" s="93">
        <v>1</v>
      </c>
      <c r="N31" s="103">
        <f>Third_Semester_SGPA[[#This Row],[Data Structure Lab]]*Third_Semester_SGPA[[#This Row],[Data Structure Lab Credit]]</f>
        <v>2.75</v>
      </c>
      <c r="O31" s="28" t="str">
        <f t="shared" si="2"/>
        <v>3.25</v>
      </c>
      <c r="P31" s="93">
        <v>1</v>
      </c>
      <c r="Q31" s="103">
        <f>Third_Semester_SGPA[[#This Row],[Computer Network Lab]]*Third_Semester_SGPA[[#This Row],[Computer Network Lab Credit]]</f>
        <v>3.25</v>
      </c>
      <c r="R31" s="28" t="str">
        <f t="shared" si="3"/>
        <v>3.50</v>
      </c>
      <c r="S31" s="103">
        <v>3</v>
      </c>
      <c r="T31" s="103">
        <f>Third_Semester_SGPA[[#This Row],[Discrete Mathematics]]*Third_Semester_SGPA[[#This Row],[Discrete Mathematics Credit]]</f>
        <v>10.5</v>
      </c>
      <c r="U31" s="103">
        <f t="shared" si="4"/>
        <v>45</v>
      </c>
      <c r="V31" s="93">
        <f t="shared" si="5"/>
        <v>14</v>
      </c>
      <c r="W31" s="28">
        <f>Third_Semester_SGPA[[#This Row],[Total Subject (Total Grade + Credit)]]/Third_Semester_SGPA[[#This Row],[Total Subject Credit]]</f>
        <v>3.2142857142857144</v>
      </c>
      <c r="X31" s="21"/>
    </row>
    <row r="32" spans="1:24" x14ac:dyDescent="0.25">
      <c r="A32" s="93" t="s">
        <v>14</v>
      </c>
      <c r="B32" s="98" t="s">
        <v>39</v>
      </c>
      <c r="C32" s="28" t="str">
        <f t="shared" si="0"/>
        <v>3.75</v>
      </c>
      <c r="D32" s="93">
        <v>3</v>
      </c>
      <c r="E32" s="103">
        <f>Third_Semester_SGPA[[#This Row],[Study and Communication Skills]]*Third_Semester_SGPA[[#This Row],[Study and Communication Skills Credit]]</f>
        <v>11.25</v>
      </c>
      <c r="F32" s="28" t="str">
        <f t="shared" si="6"/>
        <v>0.00</v>
      </c>
      <c r="G32" s="93">
        <v>3</v>
      </c>
      <c r="H32" s="103">
        <f>Third_Semester_SGPA[[#This Row],[Data Structure]]*Third_Semester_SGPA[[#This Row],[Data Structure Credit]]</f>
        <v>0</v>
      </c>
      <c r="I32" s="28" t="str">
        <f t="shared" si="7"/>
        <v>3.50</v>
      </c>
      <c r="J32" s="93">
        <v>3</v>
      </c>
      <c r="K32" s="103">
        <f>Third_Semester_SGPA[[#This Row],[Computer Network]]*Third_Semester_SGPA[[#This Row],[Computer Network Credit]]</f>
        <v>10.5</v>
      </c>
      <c r="L32" s="28" t="str">
        <f t="shared" si="1"/>
        <v>0.00</v>
      </c>
      <c r="M32" s="93">
        <v>1</v>
      </c>
      <c r="N32" s="103">
        <f>Third_Semester_SGPA[[#This Row],[Data Structure Lab]]*Third_Semester_SGPA[[#This Row],[Data Structure Lab Credit]]</f>
        <v>0</v>
      </c>
      <c r="O32" s="28" t="str">
        <f t="shared" si="2"/>
        <v>0.00</v>
      </c>
      <c r="P32" s="93">
        <v>1</v>
      </c>
      <c r="Q32" s="103">
        <f>Third_Semester_SGPA[[#This Row],[Computer Network Lab]]*Third_Semester_SGPA[[#This Row],[Computer Network Lab Credit]]</f>
        <v>0</v>
      </c>
      <c r="R32" s="28" t="str">
        <f t="shared" si="3"/>
        <v>4.00</v>
      </c>
      <c r="S32" s="103">
        <v>3</v>
      </c>
      <c r="T32" s="103">
        <f>Third_Semester_SGPA[[#This Row],[Discrete Mathematics]]*Third_Semester_SGPA[[#This Row],[Discrete Mathematics Credit]]</f>
        <v>12</v>
      </c>
      <c r="U32" s="103">
        <f t="shared" si="4"/>
        <v>33.75</v>
      </c>
      <c r="V32" s="93">
        <f t="shared" si="5"/>
        <v>14</v>
      </c>
      <c r="W32" s="28">
        <f>Third_Semester_SGPA[[#This Row],[Total Subject (Total Grade + Credit)]]/Third_Semester_SGPA[[#This Row],[Total Subject Credit]]</f>
        <v>2.4107142857142856</v>
      </c>
      <c r="X32" s="21"/>
    </row>
    <row r="33" spans="1:24" x14ac:dyDescent="0.25">
      <c r="A33" s="93" t="s">
        <v>15</v>
      </c>
      <c r="B33" s="98" t="s">
        <v>40</v>
      </c>
      <c r="C33" s="28" t="str">
        <f t="shared" si="0"/>
        <v>3.25</v>
      </c>
      <c r="D33" s="93">
        <v>3</v>
      </c>
      <c r="E33" s="103">
        <f>Third_Semester_SGPA[[#This Row],[Study and Communication Skills]]*Third_Semester_SGPA[[#This Row],[Study and Communication Skills Credit]]</f>
        <v>9.75</v>
      </c>
      <c r="F33" s="28" t="str">
        <f t="shared" si="6"/>
        <v>2.50</v>
      </c>
      <c r="G33" s="93">
        <v>3</v>
      </c>
      <c r="H33" s="103">
        <f>Third_Semester_SGPA[[#This Row],[Data Structure]]*Third_Semester_SGPA[[#This Row],[Data Structure Credit]]</f>
        <v>7.5</v>
      </c>
      <c r="I33" s="28" t="str">
        <f t="shared" si="7"/>
        <v>2.25</v>
      </c>
      <c r="J33" s="93">
        <v>3</v>
      </c>
      <c r="K33" s="103">
        <f>Third_Semester_SGPA[[#This Row],[Computer Network]]*Third_Semester_SGPA[[#This Row],[Computer Network Credit]]</f>
        <v>6.75</v>
      </c>
      <c r="L33" s="28" t="str">
        <f t="shared" si="1"/>
        <v>2.50</v>
      </c>
      <c r="M33" s="93">
        <v>1</v>
      </c>
      <c r="N33" s="103">
        <f>Third_Semester_SGPA[[#This Row],[Data Structure Lab]]*Third_Semester_SGPA[[#This Row],[Data Structure Lab Credit]]</f>
        <v>2.5</v>
      </c>
      <c r="O33" s="28" t="str">
        <f t="shared" si="2"/>
        <v>2.50</v>
      </c>
      <c r="P33" s="93">
        <v>1</v>
      </c>
      <c r="Q33" s="103">
        <f>Third_Semester_SGPA[[#This Row],[Computer Network Lab]]*Third_Semester_SGPA[[#This Row],[Computer Network Lab Credit]]</f>
        <v>2.5</v>
      </c>
      <c r="R33" s="28" t="str">
        <f t="shared" si="3"/>
        <v>4.00</v>
      </c>
      <c r="S33" s="103">
        <v>3</v>
      </c>
      <c r="T33" s="103">
        <f>Third_Semester_SGPA[[#This Row],[Discrete Mathematics]]*Third_Semester_SGPA[[#This Row],[Discrete Mathematics Credit]]</f>
        <v>12</v>
      </c>
      <c r="U33" s="103">
        <f t="shared" si="4"/>
        <v>41</v>
      </c>
      <c r="V33" s="93">
        <f t="shared" si="5"/>
        <v>14</v>
      </c>
      <c r="W33" s="28">
        <f>Third_Semester_SGPA[[#This Row],[Total Subject (Total Grade + Credit)]]/Third_Semester_SGPA[[#This Row],[Total Subject Credit]]</f>
        <v>2.9285714285714284</v>
      </c>
      <c r="X33" s="21"/>
    </row>
    <row r="34" spans="1:24" x14ac:dyDescent="0.25">
      <c r="A34" s="208" t="s">
        <v>16</v>
      </c>
      <c r="B34" s="207" t="s">
        <v>31</v>
      </c>
      <c r="C34" s="209"/>
      <c r="D34" s="208"/>
      <c r="E34" s="208"/>
      <c r="F34" s="209"/>
      <c r="G34" s="208"/>
      <c r="H34" s="208"/>
      <c r="I34" s="209"/>
      <c r="J34" s="208"/>
      <c r="K34" s="208"/>
      <c r="L34" s="209"/>
      <c r="M34" s="208"/>
      <c r="N34" s="208"/>
      <c r="O34" s="209"/>
      <c r="P34" s="208"/>
      <c r="Q34" s="208"/>
      <c r="R34" s="209"/>
      <c r="S34" s="208"/>
      <c r="T34" s="208"/>
      <c r="U34" s="208"/>
      <c r="V34" s="208"/>
      <c r="W34" s="209"/>
      <c r="X34" s="21"/>
    </row>
    <row r="35" spans="1:24" x14ac:dyDescent="0.25">
      <c r="A35" s="93" t="s">
        <v>17</v>
      </c>
      <c r="B35" s="98" t="s">
        <v>41</v>
      </c>
      <c r="C35" s="28" t="str">
        <f t="shared" si="0"/>
        <v>4.00</v>
      </c>
      <c r="D35" s="93">
        <v>3</v>
      </c>
      <c r="E35" s="103">
        <f>Third_Semester_SGPA[[#This Row],[Study and Communication Skills]]*Third_Semester_SGPA[[#This Row],[Study and Communication Skills Credit]]</f>
        <v>12</v>
      </c>
      <c r="F35" s="28" t="str">
        <f t="shared" si="6"/>
        <v>3.25</v>
      </c>
      <c r="G35" s="93">
        <v>3</v>
      </c>
      <c r="H35" s="103">
        <f>Third_Semester_SGPA[[#This Row],[Data Structure]]*Third_Semester_SGPA[[#This Row],[Data Structure Credit]]</f>
        <v>9.75</v>
      </c>
      <c r="I35" s="28" t="str">
        <f t="shared" si="7"/>
        <v>2.25</v>
      </c>
      <c r="J35" s="93">
        <v>3</v>
      </c>
      <c r="K35" s="103">
        <f>Third_Semester_SGPA[[#This Row],[Computer Network]]*Third_Semester_SGPA[[#This Row],[Computer Network Credit]]</f>
        <v>6.75</v>
      </c>
      <c r="L35" s="28" t="str">
        <f t="shared" si="1"/>
        <v>4.00</v>
      </c>
      <c r="M35" s="93">
        <v>1</v>
      </c>
      <c r="N35" s="103">
        <f>Third_Semester_SGPA[[#This Row],[Data Structure Lab]]*Third_Semester_SGPA[[#This Row],[Data Structure Lab Credit]]</f>
        <v>4</v>
      </c>
      <c r="O35" s="28" t="str">
        <f t="shared" si="2"/>
        <v>2.25</v>
      </c>
      <c r="P35" s="93">
        <v>1</v>
      </c>
      <c r="Q35" s="103">
        <f>Third_Semester_SGPA[[#This Row],[Computer Network Lab]]*Third_Semester_SGPA[[#This Row],[Computer Network Lab Credit]]</f>
        <v>2.25</v>
      </c>
      <c r="R35" s="28" t="str">
        <f t="shared" si="3"/>
        <v>3.50</v>
      </c>
      <c r="S35" s="103">
        <v>3</v>
      </c>
      <c r="T35" s="103">
        <f>Third_Semester_SGPA[[#This Row],[Discrete Mathematics]]*Third_Semester_SGPA[[#This Row],[Discrete Mathematics Credit]]</f>
        <v>10.5</v>
      </c>
      <c r="U35" s="103">
        <f t="shared" si="4"/>
        <v>45.25</v>
      </c>
      <c r="V35" s="93">
        <f t="shared" si="5"/>
        <v>14</v>
      </c>
      <c r="W35" s="28">
        <f>Third_Semester_SGPA[[#This Row],[Total Subject (Total Grade + Credit)]]/Third_Semester_SGPA[[#This Row],[Total Subject Credit]]</f>
        <v>3.2321428571428572</v>
      </c>
    </row>
    <row r="36" spans="1:24" x14ac:dyDescent="0.25">
      <c r="A36" s="93" t="s">
        <v>18</v>
      </c>
      <c r="B36" s="98" t="s">
        <v>42</v>
      </c>
      <c r="C36" s="28" t="str">
        <f t="shared" si="0"/>
        <v>3.25</v>
      </c>
      <c r="D36" s="93">
        <v>3</v>
      </c>
      <c r="E36" s="103">
        <f>Third_Semester_SGPA[[#This Row],[Study and Communication Skills]]*Third_Semester_SGPA[[#This Row],[Study and Communication Skills Credit]]</f>
        <v>9.75</v>
      </c>
      <c r="F36" s="28" t="str">
        <f t="shared" si="6"/>
        <v>2.75</v>
      </c>
      <c r="G36" s="93">
        <v>3</v>
      </c>
      <c r="H36" s="103">
        <f>Third_Semester_SGPA[[#This Row],[Data Structure]]*Third_Semester_SGPA[[#This Row],[Data Structure Credit]]</f>
        <v>8.25</v>
      </c>
      <c r="I36" s="28" t="str">
        <f t="shared" si="7"/>
        <v>3.25</v>
      </c>
      <c r="J36" s="93">
        <v>3</v>
      </c>
      <c r="K36" s="103">
        <f>Third_Semester_SGPA[[#This Row],[Computer Network]]*Third_Semester_SGPA[[#This Row],[Computer Network Credit]]</f>
        <v>9.75</v>
      </c>
      <c r="L36" s="28" t="str">
        <f t="shared" si="1"/>
        <v>2.75</v>
      </c>
      <c r="M36" s="93">
        <v>1</v>
      </c>
      <c r="N36" s="103">
        <f>Third_Semester_SGPA[[#This Row],[Data Structure Lab]]*Third_Semester_SGPA[[#This Row],[Data Structure Lab Credit]]</f>
        <v>2.75</v>
      </c>
      <c r="O36" s="28" t="str">
        <f t="shared" si="2"/>
        <v>4.00</v>
      </c>
      <c r="P36" s="93">
        <v>1</v>
      </c>
      <c r="Q36" s="103">
        <f>Third_Semester_SGPA[[#This Row],[Computer Network Lab]]*Third_Semester_SGPA[[#This Row],[Computer Network Lab Credit]]</f>
        <v>4</v>
      </c>
      <c r="R36" s="28" t="str">
        <f t="shared" si="3"/>
        <v>3.75</v>
      </c>
      <c r="S36" s="103">
        <v>3</v>
      </c>
      <c r="T36" s="103">
        <f>Third_Semester_SGPA[[#This Row],[Discrete Mathematics]]*Third_Semester_SGPA[[#This Row],[Discrete Mathematics Credit]]</f>
        <v>11.25</v>
      </c>
      <c r="U36" s="103">
        <f t="shared" si="4"/>
        <v>45.75</v>
      </c>
      <c r="V36" s="93">
        <f t="shared" si="5"/>
        <v>14</v>
      </c>
      <c r="W36" s="28">
        <f>Third_Semester_SGPA[[#This Row],[Total Subject (Total Grade + Credit)]]/Third_Semester_SGPA[[#This Row],[Total Subject Credit]]</f>
        <v>3.2678571428571428</v>
      </c>
    </row>
    <row r="37" spans="1:24" x14ac:dyDescent="0.25">
      <c r="A37" s="93" t="s">
        <v>19</v>
      </c>
      <c r="B37" s="98" t="s">
        <v>43</v>
      </c>
      <c r="C37" s="28" t="str">
        <f t="shared" si="0"/>
        <v>2.50</v>
      </c>
      <c r="D37" s="93">
        <v>3</v>
      </c>
      <c r="E37" s="103">
        <f>Third_Semester_SGPA[[#This Row],[Study and Communication Skills]]*Third_Semester_SGPA[[#This Row],[Study and Communication Skills Credit]]</f>
        <v>7.5</v>
      </c>
      <c r="F37" s="28" t="str">
        <f t="shared" si="6"/>
        <v>3.75</v>
      </c>
      <c r="G37" s="93">
        <v>3</v>
      </c>
      <c r="H37" s="103">
        <f>Third_Semester_SGPA[[#This Row],[Data Structure]]*Third_Semester_SGPA[[#This Row],[Data Structure Credit]]</f>
        <v>11.25</v>
      </c>
      <c r="I37" s="28" t="str">
        <f t="shared" si="7"/>
        <v>0.00</v>
      </c>
      <c r="J37" s="93">
        <v>3</v>
      </c>
      <c r="K37" s="103">
        <f>Third_Semester_SGPA[[#This Row],[Computer Network]]*Third_Semester_SGPA[[#This Row],[Computer Network Credit]]</f>
        <v>0</v>
      </c>
      <c r="L37" s="28" t="str">
        <f t="shared" si="1"/>
        <v>2.25</v>
      </c>
      <c r="M37" s="93">
        <v>1</v>
      </c>
      <c r="N37" s="103">
        <f>Third_Semester_SGPA[[#This Row],[Data Structure Lab]]*Third_Semester_SGPA[[#This Row],[Data Structure Lab Credit]]</f>
        <v>2.25</v>
      </c>
      <c r="O37" s="28" t="str">
        <f t="shared" si="2"/>
        <v>4.00</v>
      </c>
      <c r="P37" s="93">
        <v>1</v>
      </c>
      <c r="Q37" s="103">
        <f>Third_Semester_SGPA[[#This Row],[Computer Network Lab]]*Third_Semester_SGPA[[#This Row],[Computer Network Lab Credit]]</f>
        <v>4</v>
      </c>
      <c r="R37" s="28" t="str">
        <f t="shared" si="3"/>
        <v>3.50</v>
      </c>
      <c r="S37" s="103">
        <v>3</v>
      </c>
      <c r="T37" s="103">
        <f>Third_Semester_SGPA[[#This Row],[Discrete Mathematics]]*Third_Semester_SGPA[[#This Row],[Discrete Mathematics Credit]]</f>
        <v>10.5</v>
      </c>
      <c r="U37" s="103">
        <f t="shared" si="4"/>
        <v>35.5</v>
      </c>
      <c r="V37" s="93">
        <f t="shared" si="5"/>
        <v>14</v>
      </c>
      <c r="W37" s="28">
        <f>Third_Semester_SGPA[[#This Row],[Total Subject (Total Grade + Credit)]]/Third_Semester_SGPA[[#This Row],[Total Subject Credit]]</f>
        <v>2.5357142857142856</v>
      </c>
    </row>
    <row r="38" spans="1:24" x14ac:dyDescent="0.25">
      <c r="A38" s="93" t="s">
        <v>23</v>
      </c>
      <c r="B38" s="98" t="s">
        <v>44</v>
      </c>
      <c r="C38" s="28" t="str">
        <f t="shared" si="0"/>
        <v>2.75</v>
      </c>
      <c r="D38" s="93">
        <v>3</v>
      </c>
      <c r="E38" s="103">
        <f>Third_Semester_SGPA[[#This Row],[Study and Communication Skills]]*Third_Semester_SGPA[[#This Row],[Study and Communication Skills Credit]]</f>
        <v>8.25</v>
      </c>
      <c r="F38" s="28" t="str">
        <f t="shared" si="6"/>
        <v>2.00</v>
      </c>
      <c r="G38" s="93">
        <v>3</v>
      </c>
      <c r="H38" s="103">
        <f>Third_Semester_SGPA[[#This Row],[Data Structure]]*Third_Semester_SGPA[[#This Row],[Data Structure Credit]]</f>
        <v>6</v>
      </c>
      <c r="I38" s="28" t="str">
        <f t="shared" si="7"/>
        <v>2.50</v>
      </c>
      <c r="J38" s="93">
        <v>3</v>
      </c>
      <c r="K38" s="103">
        <f>Third_Semester_SGPA[[#This Row],[Computer Network]]*Third_Semester_SGPA[[#This Row],[Computer Network Credit]]</f>
        <v>7.5</v>
      </c>
      <c r="L38" s="28" t="str">
        <f t="shared" si="1"/>
        <v>2.00</v>
      </c>
      <c r="M38" s="93">
        <v>1</v>
      </c>
      <c r="N38" s="103">
        <f>Third_Semester_SGPA[[#This Row],[Data Structure Lab]]*Third_Semester_SGPA[[#This Row],[Data Structure Lab Credit]]</f>
        <v>2</v>
      </c>
      <c r="O38" s="28" t="str">
        <f t="shared" si="2"/>
        <v>2.75</v>
      </c>
      <c r="P38" s="93">
        <v>1</v>
      </c>
      <c r="Q38" s="103">
        <f>Third_Semester_SGPA[[#This Row],[Computer Network Lab]]*Third_Semester_SGPA[[#This Row],[Computer Network Lab Credit]]</f>
        <v>2.75</v>
      </c>
      <c r="R38" s="28" t="str">
        <f t="shared" si="3"/>
        <v>4.00</v>
      </c>
      <c r="S38" s="103">
        <v>3</v>
      </c>
      <c r="T38" s="103">
        <f>Third_Semester_SGPA[[#This Row],[Discrete Mathematics]]*Third_Semester_SGPA[[#This Row],[Discrete Mathematics Credit]]</f>
        <v>12</v>
      </c>
      <c r="U38" s="103">
        <f t="shared" si="4"/>
        <v>38.5</v>
      </c>
      <c r="V38" s="93">
        <f t="shared" si="5"/>
        <v>14</v>
      </c>
      <c r="W38" s="28">
        <f>Third_Semester_SGPA[[#This Row],[Total Subject (Total Grade + Credit)]]/Third_Semester_SGPA[[#This Row],[Total Subject Credit]]</f>
        <v>2.75</v>
      </c>
    </row>
    <row r="39" spans="1:24" x14ac:dyDescent="0.25">
      <c r="A39" s="93" t="s">
        <v>24</v>
      </c>
      <c r="B39" s="98" t="s">
        <v>45</v>
      </c>
      <c r="C39" s="28" t="str">
        <f t="shared" si="0"/>
        <v>3.25</v>
      </c>
      <c r="D39" s="93">
        <v>3</v>
      </c>
      <c r="E39" s="103">
        <f>Third_Semester_SGPA[[#This Row],[Study and Communication Skills]]*Third_Semester_SGPA[[#This Row],[Study and Communication Skills Credit]]</f>
        <v>9.75</v>
      </c>
      <c r="F39" s="28" t="str">
        <f t="shared" si="6"/>
        <v>2.50</v>
      </c>
      <c r="G39" s="93">
        <v>3</v>
      </c>
      <c r="H39" s="103">
        <f>Third_Semester_SGPA[[#This Row],[Data Structure]]*Third_Semester_SGPA[[#This Row],[Data Structure Credit]]</f>
        <v>7.5</v>
      </c>
      <c r="I39" s="28" t="str">
        <f t="shared" si="7"/>
        <v>2.75</v>
      </c>
      <c r="J39" s="93">
        <v>3</v>
      </c>
      <c r="K39" s="103">
        <f>Third_Semester_SGPA[[#This Row],[Computer Network]]*Third_Semester_SGPA[[#This Row],[Computer Network Credit]]</f>
        <v>8.25</v>
      </c>
      <c r="L39" s="28" t="str">
        <f t="shared" si="1"/>
        <v>3.00</v>
      </c>
      <c r="M39" s="93">
        <v>1</v>
      </c>
      <c r="N39" s="103">
        <f>Third_Semester_SGPA[[#This Row],[Data Structure Lab]]*Third_Semester_SGPA[[#This Row],[Data Structure Lab Credit]]</f>
        <v>3</v>
      </c>
      <c r="O39" s="28" t="str">
        <f t="shared" si="2"/>
        <v>3.00</v>
      </c>
      <c r="P39" s="93">
        <v>1</v>
      </c>
      <c r="Q39" s="103">
        <f>Third_Semester_SGPA[[#This Row],[Computer Network Lab]]*Third_Semester_SGPA[[#This Row],[Computer Network Lab Credit]]</f>
        <v>3</v>
      </c>
      <c r="R39" s="28" t="str">
        <f t="shared" si="3"/>
        <v>4.00</v>
      </c>
      <c r="S39" s="103">
        <v>3</v>
      </c>
      <c r="T39" s="103">
        <f>Third_Semester_SGPA[[#This Row],[Discrete Mathematics]]*Third_Semester_SGPA[[#This Row],[Discrete Mathematics Credit]]</f>
        <v>12</v>
      </c>
      <c r="U39" s="103">
        <f t="shared" si="4"/>
        <v>43.5</v>
      </c>
      <c r="V39" s="93">
        <f t="shared" si="5"/>
        <v>14</v>
      </c>
      <c r="W39" s="28">
        <f>Third_Semester_SGPA[[#This Row],[Total Subject (Total Grade + Credit)]]/Third_Semester_SGPA[[#This Row],[Total Subject Credit]]</f>
        <v>3.1071428571428572</v>
      </c>
    </row>
    <row r="40" spans="1:24" x14ac:dyDescent="0.25">
      <c r="A40" s="93" t="s">
        <v>25</v>
      </c>
      <c r="B40" s="98" t="s">
        <v>46</v>
      </c>
      <c r="C40" s="28" t="str">
        <f t="shared" si="0"/>
        <v>3.25</v>
      </c>
      <c r="D40" s="93">
        <v>3</v>
      </c>
      <c r="E40" s="103">
        <f>Third_Semester_SGPA[[#This Row],[Study and Communication Skills]]*Third_Semester_SGPA[[#This Row],[Study and Communication Skills Credit]]</f>
        <v>9.75</v>
      </c>
      <c r="F40" s="28" t="str">
        <f t="shared" si="6"/>
        <v>0.00</v>
      </c>
      <c r="G40" s="93">
        <v>3</v>
      </c>
      <c r="H40" s="103">
        <f>Third_Semester_SGPA[[#This Row],[Data Structure]]*Third_Semester_SGPA[[#This Row],[Data Structure Credit]]</f>
        <v>0</v>
      </c>
      <c r="I40" s="28" t="str">
        <f t="shared" si="7"/>
        <v>3.00</v>
      </c>
      <c r="J40" s="93">
        <v>3</v>
      </c>
      <c r="K40" s="103">
        <f>Third_Semester_SGPA[[#This Row],[Computer Network]]*Third_Semester_SGPA[[#This Row],[Computer Network Credit]]</f>
        <v>9</v>
      </c>
      <c r="L40" s="28" t="str">
        <f t="shared" si="1"/>
        <v>0.00</v>
      </c>
      <c r="M40" s="93">
        <v>1</v>
      </c>
      <c r="N40" s="103">
        <f>Third_Semester_SGPA[[#This Row],[Data Structure Lab]]*Third_Semester_SGPA[[#This Row],[Data Structure Lab Credit]]</f>
        <v>0</v>
      </c>
      <c r="O40" s="28" t="str">
        <f t="shared" si="2"/>
        <v>2.50</v>
      </c>
      <c r="P40" s="93">
        <v>1</v>
      </c>
      <c r="Q40" s="103">
        <f>Third_Semester_SGPA[[#This Row],[Computer Network Lab]]*Third_Semester_SGPA[[#This Row],[Computer Network Lab Credit]]</f>
        <v>2.5</v>
      </c>
      <c r="R40" s="28" t="str">
        <f t="shared" si="3"/>
        <v>3.75</v>
      </c>
      <c r="S40" s="103">
        <v>3</v>
      </c>
      <c r="T40" s="103">
        <f>Third_Semester_SGPA[[#This Row],[Discrete Mathematics]]*Third_Semester_SGPA[[#This Row],[Discrete Mathematics Credit]]</f>
        <v>11.25</v>
      </c>
      <c r="U40" s="103">
        <f t="shared" si="4"/>
        <v>32.5</v>
      </c>
      <c r="V40" s="93">
        <f t="shared" si="5"/>
        <v>14</v>
      </c>
      <c r="W40" s="28">
        <f>Third_Semester_SGPA[[#This Row],[Total Subject (Total Grade + Credit)]]/Third_Semester_SGPA[[#This Row],[Total Subject Credit]]</f>
        <v>2.3214285714285716</v>
      </c>
    </row>
    <row r="41" spans="1:24" x14ac:dyDescent="0.25">
      <c r="A41" s="93" t="s">
        <v>26</v>
      </c>
      <c r="B41" s="98" t="s">
        <v>47</v>
      </c>
      <c r="C41" s="28" t="str">
        <f t="shared" si="0"/>
        <v>3.00</v>
      </c>
      <c r="D41" s="93">
        <v>3</v>
      </c>
      <c r="E41" s="103">
        <f>Third_Semester_SGPA[[#This Row],[Study and Communication Skills]]*Third_Semester_SGPA[[#This Row],[Study and Communication Skills Credit]]</f>
        <v>9</v>
      </c>
      <c r="F41" s="28" t="str">
        <f t="shared" si="6"/>
        <v>0.00</v>
      </c>
      <c r="G41" s="93">
        <v>3</v>
      </c>
      <c r="H41" s="103">
        <f>Third_Semester_SGPA[[#This Row],[Data Structure]]*Third_Semester_SGPA[[#This Row],[Data Structure Credit]]</f>
        <v>0</v>
      </c>
      <c r="I41" s="28" t="str">
        <f t="shared" si="7"/>
        <v>2.00</v>
      </c>
      <c r="J41" s="93">
        <v>3</v>
      </c>
      <c r="K41" s="103">
        <f>Third_Semester_SGPA[[#This Row],[Computer Network]]*Third_Semester_SGPA[[#This Row],[Computer Network Credit]]</f>
        <v>6</v>
      </c>
      <c r="L41" s="28" t="str">
        <f t="shared" si="1"/>
        <v>2.75</v>
      </c>
      <c r="M41" s="93">
        <v>1</v>
      </c>
      <c r="N41" s="103">
        <f>Third_Semester_SGPA[[#This Row],[Data Structure Lab]]*Third_Semester_SGPA[[#This Row],[Data Structure Lab Credit]]</f>
        <v>2.75</v>
      </c>
      <c r="O41" s="28" t="str">
        <f t="shared" si="2"/>
        <v>0.00</v>
      </c>
      <c r="P41" s="93">
        <v>1</v>
      </c>
      <c r="Q41" s="103">
        <f>Third_Semester_SGPA[[#This Row],[Computer Network Lab]]*Third_Semester_SGPA[[#This Row],[Computer Network Lab Credit]]</f>
        <v>0</v>
      </c>
      <c r="R41" s="28" t="str">
        <f t="shared" si="3"/>
        <v>4.00</v>
      </c>
      <c r="S41" s="103">
        <v>3</v>
      </c>
      <c r="T41" s="103">
        <f>Third_Semester_SGPA[[#This Row],[Discrete Mathematics]]*Third_Semester_SGPA[[#This Row],[Discrete Mathematics Credit]]</f>
        <v>12</v>
      </c>
      <c r="U41" s="103">
        <f t="shared" si="4"/>
        <v>29.75</v>
      </c>
      <c r="V41" s="93">
        <f t="shared" si="5"/>
        <v>14</v>
      </c>
      <c r="W41" s="28">
        <f>Third_Semester_SGPA[[#This Row],[Total Subject (Total Grade + Credit)]]/Third_Semester_SGPA[[#This Row],[Total Subject Credit]]</f>
        <v>2.125</v>
      </c>
    </row>
    <row r="42" spans="1:24" x14ac:dyDescent="0.25">
      <c r="A42" s="93" t="s">
        <v>50</v>
      </c>
      <c r="B42" s="98" t="s">
        <v>51</v>
      </c>
      <c r="C42" s="28" t="str">
        <f t="shared" si="0"/>
        <v>2.75</v>
      </c>
      <c r="D42" s="93">
        <v>3</v>
      </c>
      <c r="E42" s="103">
        <f>Third_Semester_SGPA[[#This Row],[Study and Communication Skills]]*Third_Semester_SGPA[[#This Row],[Study and Communication Skills Credit]]</f>
        <v>8.25</v>
      </c>
      <c r="F42" s="28" t="str">
        <f t="shared" si="6"/>
        <v>2.50</v>
      </c>
      <c r="G42" s="93">
        <v>3</v>
      </c>
      <c r="H42" s="103">
        <f>Third_Semester_SGPA[[#This Row],[Data Structure]]*Third_Semester_SGPA[[#This Row],[Data Structure Credit]]</f>
        <v>7.5</v>
      </c>
      <c r="I42" s="28" t="str">
        <f t="shared" si="7"/>
        <v>3.00</v>
      </c>
      <c r="J42" s="93">
        <v>3</v>
      </c>
      <c r="K42" s="103">
        <f>Third_Semester_SGPA[[#This Row],[Computer Network]]*Third_Semester_SGPA[[#This Row],[Computer Network Credit]]</f>
        <v>9</v>
      </c>
      <c r="L42" s="28" t="str">
        <f t="shared" si="1"/>
        <v>2.00</v>
      </c>
      <c r="M42" s="93">
        <v>1</v>
      </c>
      <c r="N42" s="103">
        <f>Third_Semester_SGPA[[#This Row],[Data Structure Lab]]*Third_Semester_SGPA[[#This Row],[Data Structure Lab Credit]]</f>
        <v>2</v>
      </c>
      <c r="O42" s="28" t="str">
        <f t="shared" si="2"/>
        <v>3.75</v>
      </c>
      <c r="P42" s="93">
        <v>1</v>
      </c>
      <c r="Q42" s="103">
        <f>Third_Semester_SGPA[[#This Row],[Computer Network Lab]]*Third_Semester_SGPA[[#This Row],[Computer Network Lab Credit]]</f>
        <v>3.75</v>
      </c>
      <c r="R42" s="28" t="str">
        <f t="shared" si="3"/>
        <v>3.25</v>
      </c>
      <c r="S42" s="103">
        <v>3</v>
      </c>
      <c r="T42" s="103">
        <f>Third_Semester_SGPA[[#This Row],[Discrete Mathematics]]*Third_Semester_SGPA[[#This Row],[Discrete Mathematics Credit]]</f>
        <v>9.75</v>
      </c>
      <c r="U42" s="103">
        <f t="shared" si="4"/>
        <v>40.25</v>
      </c>
      <c r="V42" s="93">
        <f t="shared" si="5"/>
        <v>14</v>
      </c>
      <c r="W42" s="28">
        <f>Third_Semester_SGPA[[#This Row],[Total Subject (Total Grade + Credit)]]/Third_Semester_SGPA[[#This Row],[Total Subject Credit]]</f>
        <v>2.875</v>
      </c>
    </row>
    <row r="43" spans="1:24" x14ac:dyDescent="0.25">
      <c r="A43" s="93" t="s">
        <v>53</v>
      </c>
      <c r="B43" s="98" t="s">
        <v>54</v>
      </c>
      <c r="C43" s="28" t="str">
        <f t="shared" si="0"/>
        <v>2.75</v>
      </c>
      <c r="D43" s="93">
        <v>3</v>
      </c>
      <c r="E43" s="103">
        <f>Third_Semester_SGPA[[#This Row],[Study and Communication Skills]]*Third_Semester_SGPA[[#This Row],[Study and Communication Skills Credit]]</f>
        <v>8.25</v>
      </c>
      <c r="F43" s="28" t="str">
        <f t="shared" si="6"/>
        <v>2.00</v>
      </c>
      <c r="G43" s="93">
        <v>3</v>
      </c>
      <c r="H43" s="103">
        <f>Third_Semester_SGPA[[#This Row],[Data Structure]]*Third_Semester_SGPA[[#This Row],[Data Structure Credit]]</f>
        <v>6</v>
      </c>
      <c r="I43" s="28" t="str">
        <f t="shared" si="7"/>
        <v>0.00</v>
      </c>
      <c r="J43" s="93">
        <v>3</v>
      </c>
      <c r="K43" s="103">
        <f>Third_Semester_SGPA[[#This Row],[Computer Network]]*Third_Semester_SGPA[[#This Row],[Computer Network Credit]]</f>
        <v>0</v>
      </c>
      <c r="L43" s="28" t="str">
        <f t="shared" si="1"/>
        <v>3.50</v>
      </c>
      <c r="M43" s="93">
        <v>1</v>
      </c>
      <c r="N43" s="103">
        <f>Third_Semester_SGPA[[#This Row],[Data Structure Lab]]*Third_Semester_SGPA[[#This Row],[Data Structure Lab Credit]]</f>
        <v>3.5</v>
      </c>
      <c r="O43" s="28" t="str">
        <f t="shared" si="2"/>
        <v>2.75</v>
      </c>
      <c r="P43" s="93">
        <v>1</v>
      </c>
      <c r="Q43" s="103">
        <f>Third_Semester_SGPA[[#This Row],[Computer Network Lab]]*Third_Semester_SGPA[[#This Row],[Computer Network Lab Credit]]</f>
        <v>2.75</v>
      </c>
      <c r="R43" s="28" t="str">
        <f t="shared" si="3"/>
        <v>3.50</v>
      </c>
      <c r="S43" s="103">
        <v>3</v>
      </c>
      <c r="T43" s="103">
        <f>Third_Semester_SGPA[[#This Row],[Discrete Mathematics]]*Third_Semester_SGPA[[#This Row],[Discrete Mathematics Credit]]</f>
        <v>10.5</v>
      </c>
      <c r="U43" s="103">
        <f t="shared" si="4"/>
        <v>31</v>
      </c>
      <c r="V43" s="93">
        <f t="shared" si="5"/>
        <v>14</v>
      </c>
      <c r="W43" s="28">
        <f>Third_Semester_SGPA[[#This Row],[Total Subject (Total Grade + Credit)]]/Third_Semester_SGPA[[#This Row],[Total Subject Credit]]</f>
        <v>2.2142857142857144</v>
      </c>
    </row>
    <row r="44" spans="1:24" x14ac:dyDescent="0.25">
      <c r="A44" s="93" t="s">
        <v>60</v>
      </c>
      <c r="B44" s="98" t="s">
        <v>61</v>
      </c>
      <c r="C44" s="28" t="str">
        <f t="shared" si="0"/>
        <v>2.50</v>
      </c>
      <c r="D44" s="93">
        <v>3</v>
      </c>
      <c r="E44" s="103">
        <f>Third_Semester_SGPA[[#This Row],[Study and Communication Skills]]*Third_Semester_SGPA[[#This Row],[Study and Communication Skills Credit]]</f>
        <v>7.5</v>
      </c>
      <c r="F44" s="28" t="str">
        <f t="shared" si="6"/>
        <v>2.00</v>
      </c>
      <c r="G44" s="93">
        <v>3</v>
      </c>
      <c r="H44" s="103">
        <f>Third_Semester_SGPA[[#This Row],[Data Structure]]*Third_Semester_SGPA[[#This Row],[Data Structure Credit]]</f>
        <v>6</v>
      </c>
      <c r="I44" s="28" t="str">
        <f t="shared" si="7"/>
        <v>2.00</v>
      </c>
      <c r="J44" s="93">
        <v>3</v>
      </c>
      <c r="K44" s="103">
        <f>Third_Semester_SGPA[[#This Row],[Computer Network]]*Third_Semester_SGPA[[#This Row],[Computer Network Credit]]</f>
        <v>6</v>
      </c>
      <c r="L44" s="28" t="str">
        <f t="shared" si="1"/>
        <v>2.75</v>
      </c>
      <c r="M44" s="93">
        <v>1</v>
      </c>
      <c r="N44" s="103">
        <f>Third_Semester_SGPA[[#This Row],[Data Structure Lab]]*Third_Semester_SGPA[[#This Row],[Data Structure Lab Credit]]</f>
        <v>2.75</v>
      </c>
      <c r="O44" s="28" t="str">
        <f t="shared" si="2"/>
        <v>3.25</v>
      </c>
      <c r="P44" s="93">
        <v>1</v>
      </c>
      <c r="Q44" s="103">
        <f>Third_Semester_SGPA[[#This Row],[Computer Network Lab]]*Third_Semester_SGPA[[#This Row],[Computer Network Lab Credit]]</f>
        <v>3.25</v>
      </c>
      <c r="R44" s="28" t="str">
        <f t="shared" si="3"/>
        <v>3.50</v>
      </c>
      <c r="S44" s="103">
        <v>3</v>
      </c>
      <c r="T44" s="103">
        <f>Third_Semester_SGPA[[#This Row],[Discrete Mathematics]]*Third_Semester_SGPA[[#This Row],[Discrete Mathematics Credit]]</f>
        <v>10.5</v>
      </c>
      <c r="U44" s="103">
        <f t="shared" si="4"/>
        <v>36</v>
      </c>
      <c r="V44" s="93">
        <f t="shared" si="5"/>
        <v>14</v>
      </c>
      <c r="W44" s="28">
        <f>Third_Semester_SGPA[[#This Row],[Total Subject (Total Grade + Credit)]]/Third_Semester_SGPA[[#This Row],[Total Subject Credit]]</f>
        <v>2.5714285714285716</v>
      </c>
    </row>
    <row r="56" spans="1:20" x14ac:dyDescent="0.25">
      <c r="R56" s="9"/>
      <c r="S56" s="9"/>
    </row>
    <row r="57" spans="1:20" x14ac:dyDescent="0.25">
      <c r="R57" s="9"/>
      <c r="S57" s="9"/>
    </row>
    <row r="58" spans="1:20" x14ac:dyDescent="0.25">
      <c r="R58" s="9"/>
      <c r="S58" s="9"/>
    </row>
    <row r="59" spans="1:20" ht="15" customHeight="1" x14ac:dyDescent="0.25">
      <c r="A59" s="67"/>
      <c r="B59" s="67"/>
      <c r="C59" s="67"/>
      <c r="D59" s="67"/>
      <c r="E59" s="67"/>
      <c r="F59" s="67"/>
      <c r="G59" s="67"/>
      <c r="H59" s="67"/>
      <c r="I59" s="67"/>
      <c r="J59" s="67"/>
      <c r="K59" s="67"/>
      <c r="L59" s="67"/>
      <c r="M59" s="67"/>
      <c r="N59" s="67"/>
      <c r="O59" s="67"/>
      <c r="P59" s="67"/>
      <c r="Q59" s="67"/>
      <c r="R59" s="67"/>
      <c r="S59" s="67"/>
      <c r="T59" s="67"/>
    </row>
    <row r="60" spans="1:20" s="58" customFormat="1" ht="27" customHeight="1" x14ac:dyDescent="0.25">
      <c r="A60" s="293" t="s">
        <v>163</v>
      </c>
      <c r="B60" s="293"/>
      <c r="C60" s="56" t="s">
        <v>165</v>
      </c>
      <c r="D60" s="56"/>
      <c r="E60" s="56"/>
      <c r="F60" s="294" t="s">
        <v>346</v>
      </c>
      <c r="G60" s="294"/>
      <c r="H60" s="294"/>
      <c r="I60" s="294"/>
      <c r="J60" s="294"/>
      <c r="K60" s="294"/>
      <c r="L60" s="294"/>
      <c r="M60" s="56"/>
      <c r="N60" s="56"/>
      <c r="O60" s="56"/>
      <c r="P60" s="56"/>
      <c r="Q60" s="56"/>
      <c r="R60" s="56"/>
      <c r="S60" s="64" t="s">
        <v>167</v>
      </c>
      <c r="T60" s="65">
        <v>44558</v>
      </c>
    </row>
    <row r="61" spans="1:20" ht="27" customHeight="1" thickBot="1" x14ac:dyDescent="0.3">
      <c r="A61" s="296" t="s">
        <v>164</v>
      </c>
      <c r="B61" s="296"/>
      <c r="C61" s="63" t="s">
        <v>166</v>
      </c>
      <c r="D61" s="63"/>
      <c r="E61" s="62"/>
      <c r="F61" s="295"/>
      <c r="G61" s="295"/>
      <c r="H61" s="295"/>
      <c r="I61" s="295"/>
      <c r="J61" s="295"/>
      <c r="K61" s="295"/>
      <c r="L61" s="295"/>
      <c r="M61" s="32"/>
      <c r="N61" s="32"/>
      <c r="O61" s="32"/>
      <c r="P61" s="32"/>
      <c r="Q61" s="32"/>
      <c r="R61" s="32"/>
      <c r="S61" s="61" t="s">
        <v>168</v>
      </c>
      <c r="T61" s="66">
        <v>0.91666666666666663</v>
      </c>
    </row>
    <row r="62" spans="1:20" x14ac:dyDescent="0.25">
      <c r="A62" s="58" t="s">
        <v>0</v>
      </c>
      <c r="B62" s="57" t="s">
        <v>20</v>
      </c>
      <c r="C62" s="93" t="s">
        <v>132</v>
      </c>
      <c r="D62" s="93" t="s">
        <v>133</v>
      </c>
      <c r="E62" s="93" t="s">
        <v>134</v>
      </c>
      <c r="F62" s="98" t="s">
        <v>135</v>
      </c>
      <c r="G62" s="227" t="s">
        <v>136</v>
      </c>
      <c r="H62" s="93" t="s">
        <v>137</v>
      </c>
      <c r="I62" s="98" t="s">
        <v>138</v>
      </c>
      <c r="J62" s="93" t="s">
        <v>139</v>
      </c>
      <c r="K62" s="103" t="s">
        <v>140</v>
      </c>
      <c r="L62" s="74" t="s">
        <v>141</v>
      </c>
      <c r="M62" s="93" t="s">
        <v>143</v>
      </c>
      <c r="N62" s="93" t="s">
        <v>144</v>
      </c>
      <c r="O62" s="98" t="s">
        <v>145</v>
      </c>
      <c r="P62" s="74" t="s">
        <v>146</v>
      </c>
      <c r="Q62" s="75" t="s">
        <v>147</v>
      </c>
      <c r="R62" s="255" t="s">
        <v>148</v>
      </c>
      <c r="S62" s="255" t="s">
        <v>149</v>
      </c>
      <c r="T62" s="60" t="s">
        <v>150</v>
      </c>
    </row>
    <row r="63" spans="1:20" s="21" customFormat="1" x14ac:dyDescent="0.25">
      <c r="A63" s="15"/>
      <c r="B63" s="49" t="s">
        <v>142</v>
      </c>
      <c r="C63" s="50">
        <v>15</v>
      </c>
      <c r="D63" s="50">
        <v>15</v>
      </c>
      <c r="E63" s="50">
        <v>15</v>
      </c>
      <c r="F63" s="51">
        <v>15</v>
      </c>
      <c r="G63" s="52">
        <v>15</v>
      </c>
      <c r="H63" s="50">
        <v>5</v>
      </c>
      <c r="I63" s="50">
        <v>8</v>
      </c>
      <c r="J63" s="50">
        <v>7</v>
      </c>
      <c r="K63" s="51">
        <v>20</v>
      </c>
      <c r="L63" s="52">
        <v>20</v>
      </c>
      <c r="M63" s="50">
        <v>25</v>
      </c>
      <c r="N63" s="50">
        <v>40</v>
      </c>
      <c r="O63" s="53">
        <v>65</v>
      </c>
      <c r="P63" s="54">
        <v>65</v>
      </c>
      <c r="Q63" s="55">
        <v>100</v>
      </c>
      <c r="R63" s="55" t="s">
        <v>151</v>
      </c>
      <c r="S63" s="54" t="s">
        <v>152</v>
      </c>
      <c r="T63" s="54" t="s">
        <v>153</v>
      </c>
    </row>
    <row r="64" spans="1:20" x14ac:dyDescent="0.25">
      <c r="A64" s="1" t="s">
        <v>57</v>
      </c>
      <c r="B64" s="29" t="s">
        <v>58</v>
      </c>
      <c r="C64" s="28">
        <v>9.6666666666666661</v>
      </c>
      <c r="D64" s="28">
        <v>14.666666666666666</v>
      </c>
      <c r="E64" s="28">
        <v>2.6666666666666665</v>
      </c>
      <c r="F64" s="28">
        <f>(((SUM(Third_Semester_Study_and_Communication_Skills[[#This Row],[Quiz 1]:[Quiz 3]]))/SUM($C$63:$E$63))*$F$63)</f>
        <v>9</v>
      </c>
      <c r="G64" s="27">
        <f>ROUND(Third_Semester_Study_and_Communication_Skills[[#This Row],[Quiz Average]],0)</f>
        <v>9</v>
      </c>
      <c r="H64" s="31">
        <v>4</v>
      </c>
      <c r="I64" s="31">
        <v>8</v>
      </c>
      <c r="J64" s="31">
        <v>7</v>
      </c>
      <c r="K64" s="93">
        <f>SUM(Third_Semester_Study_and_Communication_Skills[[#This Row],[Assignment]:[Attendance]])</f>
        <v>19</v>
      </c>
      <c r="L64" s="27">
        <f>ROUND(Third_Semester_Study_and_Communication_Skills[[#This Row],[Total out of APA]],0)</f>
        <v>19</v>
      </c>
      <c r="M64" s="28">
        <v>2.5</v>
      </c>
      <c r="N64" s="28">
        <v>30.5</v>
      </c>
      <c r="O64" s="28">
        <f>SUM(Third_Semester_Study_and_Communication_Skills[[#This Row],[Midterm]:[Final]])</f>
        <v>33</v>
      </c>
      <c r="P64" s="42">
        <f>ROUND(Third_Semester_Study_and_Communication_Skills[[#This Row],[Mid &amp; Final]],0)</f>
        <v>33</v>
      </c>
      <c r="Q64" s="42">
        <f>SUM(G64,L64,P64)</f>
        <v>61</v>
      </c>
      <c r="R64" s="46" t="str">
        <f>IF(Q64&gt;79,"A+",IF(Q64&gt;74,"A",IF(Q64&gt;69,"A-",IF(Q64&gt;64,"B+",IF(Q64&gt;59,"B",IF(Q64&gt;54,"B-",IF(Q64&gt;49,"C+",IF(Q64&gt;44,"C",IF(Q64&gt;39,"D",IF(Q64&gt;0,"F","N/A"))))))))))</f>
        <v>B</v>
      </c>
      <c r="S64" s="44" t="str">
        <f>IF(Q64&gt;79,"4.00",IF(Q64&gt;74,"3.75",IF(Q64&gt;69,"3.50",IF(Q64&gt;64,"3.25",IF(Q64&gt;59,"3.00",IF(Q64&gt;54,"2.75",IF(Q64&gt;49,"2.50",IF(Q64&gt;44,"2.25",IF(Q64&gt;39,"2.00",IF(Q64&gt;0,"0.00","N/A"))))))))))</f>
        <v>3.00</v>
      </c>
      <c r="T64" s="34" t="str">
        <f>IF(Q64&gt;79,"Outstanding",IF(Q64&gt;74,"Excellent",IF(Q64&gt;69,"Very Good",IF(Q64&gt;64,"Good",IF(Q64&gt;59,"Satisfactory",IF(Q64&gt;54,"Above Average",IF(Q64&gt;49,"Average",IF(Q64&gt;44,"Bellow Average",IF(Q64&gt;39,"Pass",IF(Q64&gt;0,"Fail","N/A"))))))))))</f>
        <v>Satisfactory</v>
      </c>
    </row>
    <row r="65" spans="1:22" x14ac:dyDescent="0.25">
      <c r="A65" s="1" t="s">
        <v>56</v>
      </c>
      <c r="B65" s="29" t="s">
        <v>59</v>
      </c>
      <c r="C65" s="28">
        <v>8</v>
      </c>
      <c r="D65" s="28">
        <v>13.333333333333334</v>
      </c>
      <c r="E65" s="28">
        <v>11.333333333333334</v>
      </c>
      <c r="F65" s="28">
        <f>(((SUM(Third_Semester_Study_and_Communication_Skills[[#This Row],[Quiz 1]:[Quiz 3]]))/SUM($C$63:$E$63))*$F$63)</f>
        <v>10.888888888888891</v>
      </c>
      <c r="G65" s="27">
        <f>ROUND(Third_Semester_Study_and_Communication_Skills[[#This Row],[Quiz Average]],0)</f>
        <v>11</v>
      </c>
      <c r="H65" s="31">
        <v>4</v>
      </c>
      <c r="I65" s="31">
        <v>4</v>
      </c>
      <c r="J65" s="31">
        <v>4</v>
      </c>
      <c r="K65" s="93">
        <f>SUM(Third_Semester_Study_and_Communication_Skills[[#This Row],[Assignment]:[Attendance]])</f>
        <v>12</v>
      </c>
      <c r="L65" s="27">
        <f>ROUND(Third_Semester_Study_and_Communication_Skills[[#This Row],[Total out of APA]],0)</f>
        <v>12</v>
      </c>
      <c r="M65" s="28">
        <v>2</v>
      </c>
      <c r="N65" s="28">
        <v>20.5</v>
      </c>
      <c r="O65" s="28">
        <f>SUM(Third_Semester_Study_and_Communication_Skills[[#This Row],[Midterm]:[Final]])</f>
        <v>22.5</v>
      </c>
      <c r="P65" s="42">
        <f>ROUND(Third_Semester_Study_and_Communication_Skills[[#This Row],[Mid &amp; Final]],0)</f>
        <v>23</v>
      </c>
      <c r="Q65" s="42">
        <f t="shared" ref="Q65:Q91" si="8">SUM(G65,L65,P65)</f>
        <v>46</v>
      </c>
      <c r="R65" s="46" t="str">
        <f t="shared" ref="R65:R91" si="9">IF(Q65&gt;79,"A+",IF(Q65&gt;74,"A",IF(Q65&gt;69,"A-",IF(Q65&gt;64,"B+",IF(Q65&gt;59,"B",IF(Q65&gt;54,"B-",IF(Q65&gt;49,"C+",IF(Q65&gt;44,"C",IF(Q65&gt;39,"D",IF(Q65&gt;0,"F","N/A"))))))))))</f>
        <v>C</v>
      </c>
      <c r="S65" s="44" t="str">
        <f t="shared" ref="S65:S91" si="10">IF(Q65&gt;79,"4.00",IF(Q65&gt;74,"3.75",IF(Q65&gt;69,"3.50",IF(Q65&gt;64,"3.25",IF(Q65&gt;59,"3.00",IF(Q65&gt;54,"2.75",IF(Q65&gt;49,"2.50",IF(Q65&gt;44,"2.25",IF(Q65&gt;39,"2.00",IF(Q65&gt;0,"0.00","N/A"))))))))))</f>
        <v>2.25</v>
      </c>
      <c r="T65" s="34" t="str">
        <f t="shared" ref="T65:T91" si="11">IF(Q65&gt;79,"Outstanding",IF(Q65&gt;74,"Excellent",IF(Q65&gt;69,"Very Good",IF(Q65&gt;64,"Good",IF(Q65&gt;59,"Satisfactory",IF(Q65&gt;54,"Above Average",IF(Q65&gt;49,"Average",IF(Q65&gt;44,"Bellow Average",IF(Q65&gt;39,"Pass",IF(Q65&gt;0,"Fail","N/A"))))))))))</f>
        <v>Bellow Average</v>
      </c>
    </row>
    <row r="66" spans="1:22" x14ac:dyDescent="0.25">
      <c r="A66" s="1" t="s">
        <v>1</v>
      </c>
      <c r="B66" s="29" t="s">
        <v>27</v>
      </c>
      <c r="C66" s="28">
        <v>2.6666666666666665</v>
      </c>
      <c r="D66" s="28">
        <v>9.6666666666666661</v>
      </c>
      <c r="E66" s="28">
        <v>14.666666666666666</v>
      </c>
      <c r="F66" s="28">
        <f>(((SUM(Third_Semester_Study_and_Communication_Skills[[#This Row],[Quiz 1]:[Quiz 3]]))/SUM($C$63:$E$63))*$F$63)</f>
        <v>9</v>
      </c>
      <c r="G66" s="27">
        <f>ROUND(Third_Semester_Study_and_Communication_Skills[[#This Row],[Quiz Average]],0)</f>
        <v>9</v>
      </c>
      <c r="H66" s="31">
        <v>4</v>
      </c>
      <c r="I66" s="31">
        <v>2</v>
      </c>
      <c r="J66" s="31">
        <v>5</v>
      </c>
      <c r="K66" s="93">
        <f>SUM(Third_Semester_Study_and_Communication_Skills[[#This Row],[Assignment]:[Attendance]])</f>
        <v>11</v>
      </c>
      <c r="L66" s="27">
        <f>ROUND(Third_Semester_Study_and_Communication_Skills[[#This Row],[Total out of APA]],0)</f>
        <v>11</v>
      </c>
      <c r="M66" s="28">
        <v>1.5</v>
      </c>
      <c r="N66" s="28">
        <v>37.5</v>
      </c>
      <c r="O66" s="28">
        <f>SUM(Third_Semester_Study_and_Communication_Skills[[#This Row],[Midterm]:[Final]])</f>
        <v>39</v>
      </c>
      <c r="P66" s="42">
        <f>ROUND(Third_Semester_Study_and_Communication_Skills[[#This Row],[Mid &amp; Final]],0)</f>
        <v>39</v>
      </c>
      <c r="Q66" s="42">
        <f t="shared" si="8"/>
        <v>59</v>
      </c>
      <c r="R66" s="46" t="str">
        <f t="shared" si="9"/>
        <v>B-</v>
      </c>
      <c r="S66" s="44" t="str">
        <f t="shared" si="10"/>
        <v>2.75</v>
      </c>
      <c r="T66" s="34" t="str">
        <f t="shared" si="11"/>
        <v>Above Average</v>
      </c>
    </row>
    <row r="67" spans="1:22" x14ac:dyDescent="0.25">
      <c r="A67" s="1" t="s">
        <v>2</v>
      </c>
      <c r="B67" s="29" t="s">
        <v>28</v>
      </c>
      <c r="C67" s="28">
        <v>9</v>
      </c>
      <c r="D67" s="28">
        <v>5.666666666666667</v>
      </c>
      <c r="E67" s="28">
        <v>6.666666666666667</v>
      </c>
      <c r="F67" s="28">
        <f>(((SUM(Third_Semester_Study_and_Communication_Skills[[#This Row],[Quiz 1]:[Quiz 3]]))/SUM($C$63:$E$63))*$F$63)</f>
        <v>7.1111111111111125</v>
      </c>
      <c r="G67" s="27">
        <f>ROUND(Third_Semester_Study_and_Communication_Skills[[#This Row],[Quiz Average]],0)</f>
        <v>7</v>
      </c>
      <c r="H67" s="31">
        <v>4</v>
      </c>
      <c r="I67" s="31">
        <v>4</v>
      </c>
      <c r="J67" s="31">
        <v>6</v>
      </c>
      <c r="K67" s="93">
        <f>SUM(Third_Semester_Study_and_Communication_Skills[[#This Row],[Assignment]:[Attendance]])</f>
        <v>14</v>
      </c>
      <c r="L67" s="27">
        <f>ROUND(Third_Semester_Study_and_Communication_Skills[[#This Row],[Total out of APA]],0)</f>
        <v>14</v>
      </c>
      <c r="M67" s="28">
        <v>9</v>
      </c>
      <c r="N67" s="28">
        <v>17</v>
      </c>
      <c r="O67" s="28">
        <f>SUM(Third_Semester_Study_and_Communication_Skills[[#This Row],[Midterm]:[Final]])</f>
        <v>26</v>
      </c>
      <c r="P67" s="42">
        <f>ROUND(Third_Semester_Study_and_Communication_Skills[[#This Row],[Mid &amp; Final]],0)</f>
        <v>26</v>
      </c>
      <c r="Q67" s="42">
        <f t="shared" si="8"/>
        <v>47</v>
      </c>
      <c r="R67" s="46" t="str">
        <f t="shared" si="9"/>
        <v>C</v>
      </c>
      <c r="S67" s="44" t="str">
        <f t="shared" si="10"/>
        <v>2.25</v>
      </c>
      <c r="T67" s="34" t="str">
        <f t="shared" si="11"/>
        <v>Bellow Average</v>
      </c>
    </row>
    <row r="68" spans="1:22" x14ac:dyDescent="0.25">
      <c r="A68" s="1" t="s">
        <v>3</v>
      </c>
      <c r="B68" s="29" t="s">
        <v>29</v>
      </c>
      <c r="C68" s="28">
        <v>3.3333333333333335</v>
      </c>
      <c r="D68" s="28">
        <v>5</v>
      </c>
      <c r="E68" s="28">
        <v>1.3333333333333333</v>
      </c>
      <c r="F68" s="28">
        <f>(((SUM(Third_Semester_Study_and_Communication_Skills[[#This Row],[Quiz 1]:[Quiz 3]]))/SUM($C$63:$E$63))*$F$63)</f>
        <v>3.2222222222222228</v>
      </c>
      <c r="G68" s="27">
        <f>ROUND(Third_Semester_Study_and_Communication_Skills[[#This Row],[Quiz Average]],0)</f>
        <v>3</v>
      </c>
      <c r="H68" s="31">
        <v>3</v>
      </c>
      <c r="I68" s="31">
        <v>4</v>
      </c>
      <c r="J68" s="31">
        <v>3</v>
      </c>
      <c r="K68" s="93">
        <f>SUM(Third_Semester_Study_and_Communication_Skills[[#This Row],[Assignment]:[Attendance]])</f>
        <v>10</v>
      </c>
      <c r="L68" s="27">
        <f>ROUND(Third_Semester_Study_and_Communication_Skills[[#This Row],[Total out of APA]],0)</f>
        <v>10</v>
      </c>
      <c r="M68" s="28">
        <v>11</v>
      </c>
      <c r="N68" s="28">
        <v>16</v>
      </c>
      <c r="O68" s="28">
        <f>SUM(Third_Semester_Study_and_Communication_Skills[[#This Row],[Midterm]:[Final]])</f>
        <v>27</v>
      </c>
      <c r="P68" s="42">
        <f>ROUND(Third_Semester_Study_and_Communication_Skills[[#This Row],[Mid &amp; Final]],0)</f>
        <v>27</v>
      </c>
      <c r="Q68" s="42">
        <f t="shared" si="8"/>
        <v>40</v>
      </c>
      <c r="R68" s="46" t="str">
        <f t="shared" si="9"/>
        <v>D</v>
      </c>
      <c r="S68" s="44" t="str">
        <f t="shared" si="10"/>
        <v>2.00</v>
      </c>
      <c r="T68" s="34" t="str">
        <f t="shared" si="11"/>
        <v>Pass</v>
      </c>
    </row>
    <row r="69" spans="1:22" x14ac:dyDescent="0.25">
      <c r="A69" s="1" t="s">
        <v>4</v>
      </c>
      <c r="B69" s="29" t="s">
        <v>30</v>
      </c>
      <c r="C69" s="28">
        <v>14.666666666666666</v>
      </c>
      <c r="D69" s="28">
        <v>14</v>
      </c>
      <c r="E69" s="28">
        <v>2</v>
      </c>
      <c r="F69" s="28">
        <f>(((SUM(Third_Semester_Study_and_Communication_Skills[[#This Row],[Quiz 1]:[Quiz 3]]))/SUM($C$63:$E$63))*$F$63)</f>
        <v>10.222222222222221</v>
      </c>
      <c r="G69" s="27">
        <f>ROUND(Third_Semester_Study_and_Communication_Skills[[#This Row],[Quiz Average]],0)</f>
        <v>10</v>
      </c>
      <c r="H69" s="31">
        <v>4</v>
      </c>
      <c r="I69" s="31">
        <v>3</v>
      </c>
      <c r="J69" s="31">
        <v>2</v>
      </c>
      <c r="K69" s="93">
        <f>SUM(Third_Semester_Study_and_Communication_Skills[[#This Row],[Assignment]:[Attendance]])</f>
        <v>9</v>
      </c>
      <c r="L69" s="27">
        <f>ROUND(Third_Semester_Study_and_Communication_Skills[[#This Row],[Total out of APA]],0)</f>
        <v>9</v>
      </c>
      <c r="M69" s="28">
        <v>24</v>
      </c>
      <c r="N69" s="28">
        <v>29.5</v>
      </c>
      <c r="O69" s="28">
        <f>SUM(Third_Semester_Study_and_Communication_Skills[[#This Row],[Midterm]:[Final]])</f>
        <v>53.5</v>
      </c>
      <c r="P69" s="42">
        <f>ROUND(Third_Semester_Study_and_Communication_Skills[[#This Row],[Mid &amp; Final]],0)</f>
        <v>54</v>
      </c>
      <c r="Q69" s="42">
        <f t="shared" si="8"/>
        <v>73</v>
      </c>
      <c r="R69" s="46" t="str">
        <f t="shared" si="9"/>
        <v>A-</v>
      </c>
      <c r="S69" s="44" t="str">
        <f t="shared" si="10"/>
        <v>3.50</v>
      </c>
      <c r="T69" s="34" t="str">
        <f t="shared" si="11"/>
        <v>Very Good</v>
      </c>
    </row>
    <row r="70" spans="1:22" s="21" customFormat="1" x14ac:dyDescent="0.25">
      <c r="A70" s="6" t="s">
        <v>5</v>
      </c>
      <c r="B70" s="225" t="s">
        <v>31</v>
      </c>
      <c r="C70" s="221"/>
      <c r="D70" s="221"/>
      <c r="E70" s="221"/>
      <c r="F70" s="221"/>
      <c r="G70" s="226"/>
      <c r="H70" s="220"/>
      <c r="I70" s="220"/>
      <c r="J70" s="220"/>
      <c r="K70" s="4"/>
      <c r="L70" s="226"/>
      <c r="M70" s="221"/>
      <c r="N70" s="221"/>
      <c r="O70" s="221"/>
      <c r="P70" s="222"/>
      <c r="Q70" s="222"/>
      <c r="R70" s="223"/>
      <c r="S70" s="224"/>
      <c r="T70" s="219"/>
    </row>
    <row r="71" spans="1:22" s="21" customFormat="1" x14ac:dyDescent="0.25">
      <c r="A71" s="1" t="s">
        <v>6</v>
      </c>
      <c r="B71" s="29" t="s">
        <v>32</v>
      </c>
      <c r="C71" s="28">
        <v>8</v>
      </c>
      <c r="D71" s="28">
        <v>4.666666666666667</v>
      </c>
      <c r="E71" s="28">
        <v>13.333333333333334</v>
      </c>
      <c r="F71" s="28">
        <f>(((SUM(Third_Semester_Study_and_Communication_Skills[[#This Row],[Quiz 1]:[Quiz 3]]))/SUM($C$63:$E$63))*$F$63)</f>
        <v>8.6666666666666661</v>
      </c>
      <c r="G71" s="27">
        <f>ROUND(Third_Semester_Study_and_Communication_Skills[[#This Row],[Quiz Average]],0)</f>
        <v>9</v>
      </c>
      <c r="H71" s="31">
        <v>3</v>
      </c>
      <c r="I71" s="31">
        <v>5</v>
      </c>
      <c r="J71" s="31">
        <v>3</v>
      </c>
      <c r="K71" s="93">
        <f>SUM(Third_Semester_Study_and_Communication_Skills[[#This Row],[Assignment]:[Attendance]])</f>
        <v>11</v>
      </c>
      <c r="L71" s="27">
        <f>ROUND(Third_Semester_Study_and_Communication_Skills[[#This Row],[Total out of APA]],0)</f>
        <v>11</v>
      </c>
      <c r="M71" s="28">
        <v>23</v>
      </c>
      <c r="N71" s="28">
        <v>13.5</v>
      </c>
      <c r="O71" s="28">
        <f>SUM(Third_Semester_Study_and_Communication_Skills[[#This Row],[Midterm]:[Final]])</f>
        <v>36.5</v>
      </c>
      <c r="P71" s="42">
        <f>ROUND(Third_Semester_Study_and_Communication_Skills[[#This Row],[Mid &amp; Final]],0)</f>
        <v>37</v>
      </c>
      <c r="Q71" s="42">
        <f t="shared" si="8"/>
        <v>57</v>
      </c>
      <c r="R71" s="46" t="str">
        <f t="shared" si="9"/>
        <v>B-</v>
      </c>
      <c r="S71" s="44" t="str">
        <f t="shared" si="10"/>
        <v>2.75</v>
      </c>
      <c r="T71" s="34" t="str">
        <f t="shared" si="11"/>
        <v>Above Average</v>
      </c>
    </row>
    <row r="72" spans="1:22" s="21" customFormat="1" x14ac:dyDescent="0.25">
      <c r="A72" s="1" t="s">
        <v>7</v>
      </c>
      <c r="B72" s="29" t="s">
        <v>33</v>
      </c>
      <c r="C72" s="28">
        <v>9.3333333333333339</v>
      </c>
      <c r="D72" s="28">
        <v>1</v>
      </c>
      <c r="E72" s="28">
        <v>4.333333333333333</v>
      </c>
      <c r="F72" s="28">
        <f>(((SUM(Third_Semester_Study_and_Communication_Skills[[#This Row],[Quiz 1]:[Quiz 3]]))/SUM($C$63:$E$63))*$F$63)</f>
        <v>4.8888888888888893</v>
      </c>
      <c r="G72" s="27">
        <f>ROUND(Third_Semester_Study_and_Communication_Skills[[#This Row],[Quiz Average]],0)</f>
        <v>5</v>
      </c>
      <c r="H72" s="31">
        <v>2</v>
      </c>
      <c r="I72" s="31">
        <v>6</v>
      </c>
      <c r="J72" s="31">
        <v>3</v>
      </c>
      <c r="K72" s="93">
        <f>SUM(Third_Semester_Study_and_Communication_Skills[[#This Row],[Assignment]:[Attendance]])</f>
        <v>11</v>
      </c>
      <c r="L72" s="27">
        <f>ROUND(Third_Semester_Study_and_Communication_Skills[[#This Row],[Total out of APA]],0)</f>
        <v>11</v>
      </c>
      <c r="M72" s="28">
        <v>18.5</v>
      </c>
      <c r="N72" s="28">
        <v>2</v>
      </c>
      <c r="O72" s="28">
        <f>SUM(Third_Semester_Study_and_Communication_Skills[[#This Row],[Midterm]:[Final]])</f>
        <v>20.5</v>
      </c>
      <c r="P72" s="42">
        <f>ROUND(Third_Semester_Study_and_Communication_Skills[[#This Row],[Mid &amp; Final]],0)</f>
        <v>21</v>
      </c>
      <c r="Q72" s="42">
        <f t="shared" si="8"/>
        <v>37</v>
      </c>
      <c r="R72" s="46" t="str">
        <f t="shared" si="9"/>
        <v>F</v>
      </c>
      <c r="S72" s="44" t="str">
        <f t="shared" si="10"/>
        <v>0.00</v>
      </c>
      <c r="T72" s="34" t="str">
        <f t="shared" si="11"/>
        <v>Fail</v>
      </c>
    </row>
    <row r="73" spans="1:22" s="21" customFormat="1" x14ac:dyDescent="0.25">
      <c r="A73" s="1" t="s">
        <v>8</v>
      </c>
      <c r="B73" s="29" t="s">
        <v>34</v>
      </c>
      <c r="C73" s="28">
        <v>5</v>
      </c>
      <c r="D73" s="28">
        <v>2.3333333333333335</v>
      </c>
      <c r="E73" s="28">
        <v>5.333333333333333</v>
      </c>
      <c r="F73" s="28">
        <f>(((SUM(Third_Semester_Study_and_Communication_Skills[[#This Row],[Quiz 1]:[Quiz 3]]))/SUM($C$63:$E$63))*$F$63)</f>
        <v>4.2222222222222223</v>
      </c>
      <c r="G73" s="27">
        <f>ROUND(Third_Semester_Study_and_Communication_Skills[[#This Row],[Quiz Average]],0)</f>
        <v>4</v>
      </c>
      <c r="H73" s="31">
        <v>3</v>
      </c>
      <c r="I73" s="31">
        <v>3</v>
      </c>
      <c r="J73" s="31">
        <v>6</v>
      </c>
      <c r="K73" s="93">
        <f>SUM(Third_Semester_Study_and_Communication_Skills[[#This Row],[Assignment]:[Attendance]])</f>
        <v>12</v>
      </c>
      <c r="L73" s="27">
        <f>ROUND(Third_Semester_Study_and_Communication_Skills[[#This Row],[Total out of APA]],0)</f>
        <v>12</v>
      </c>
      <c r="M73" s="28">
        <v>21.5</v>
      </c>
      <c r="N73" s="28">
        <v>38</v>
      </c>
      <c r="O73" s="28">
        <f>SUM(Third_Semester_Study_and_Communication_Skills[[#This Row],[Midterm]:[Final]])</f>
        <v>59.5</v>
      </c>
      <c r="P73" s="42">
        <f>ROUND(Third_Semester_Study_and_Communication_Skills[[#This Row],[Mid &amp; Final]],0)</f>
        <v>60</v>
      </c>
      <c r="Q73" s="42">
        <f t="shared" si="8"/>
        <v>76</v>
      </c>
      <c r="R73" s="46" t="str">
        <f t="shared" si="9"/>
        <v>A</v>
      </c>
      <c r="S73" s="44" t="str">
        <f t="shared" si="10"/>
        <v>3.75</v>
      </c>
      <c r="T73" s="34" t="str">
        <f t="shared" si="11"/>
        <v>Excellent</v>
      </c>
    </row>
    <row r="74" spans="1:22" s="21" customFormat="1" x14ac:dyDescent="0.25">
      <c r="A74" s="1" t="s">
        <v>9</v>
      </c>
      <c r="B74" s="29" t="s">
        <v>35</v>
      </c>
      <c r="C74" s="28">
        <v>6</v>
      </c>
      <c r="D74" s="28">
        <v>5.666666666666667</v>
      </c>
      <c r="E74" s="28">
        <v>1.3333333333333333</v>
      </c>
      <c r="F74" s="28">
        <f>(((SUM(Third_Semester_Study_and_Communication_Skills[[#This Row],[Quiz 1]:[Quiz 3]]))/SUM($C$63:$E$63))*$F$63)</f>
        <v>4.3333333333333339</v>
      </c>
      <c r="G74" s="27">
        <f>ROUND(Third_Semester_Study_and_Communication_Skills[[#This Row],[Quiz Average]],0)</f>
        <v>4</v>
      </c>
      <c r="H74" s="31">
        <v>2</v>
      </c>
      <c r="I74" s="31">
        <v>6</v>
      </c>
      <c r="J74" s="31">
        <v>6</v>
      </c>
      <c r="K74" s="93">
        <f>SUM(Third_Semester_Study_and_Communication_Skills[[#This Row],[Assignment]:[Attendance]])</f>
        <v>14</v>
      </c>
      <c r="L74" s="27">
        <f>ROUND(Third_Semester_Study_and_Communication_Skills[[#This Row],[Total out of APA]],0)</f>
        <v>14</v>
      </c>
      <c r="M74" s="28">
        <v>16</v>
      </c>
      <c r="N74" s="28">
        <v>26.5</v>
      </c>
      <c r="O74" s="28">
        <f>SUM(Third_Semester_Study_and_Communication_Skills[[#This Row],[Midterm]:[Final]])</f>
        <v>42.5</v>
      </c>
      <c r="P74" s="42">
        <f>ROUND(Third_Semester_Study_and_Communication_Skills[[#This Row],[Mid &amp; Final]],0)</f>
        <v>43</v>
      </c>
      <c r="Q74" s="42">
        <f t="shared" si="8"/>
        <v>61</v>
      </c>
      <c r="R74" s="46" t="str">
        <f t="shared" si="9"/>
        <v>B</v>
      </c>
      <c r="S74" s="44" t="str">
        <f t="shared" si="10"/>
        <v>3.00</v>
      </c>
      <c r="T74" s="34" t="str">
        <f t="shared" si="11"/>
        <v>Satisfactory</v>
      </c>
    </row>
    <row r="75" spans="1:22" s="21" customFormat="1" x14ac:dyDescent="0.25">
      <c r="A75" s="1" t="s">
        <v>10</v>
      </c>
      <c r="B75" s="29" t="s">
        <v>36</v>
      </c>
      <c r="C75" s="28">
        <v>7</v>
      </c>
      <c r="D75" s="28">
        <v>12.666666666666666</v>
      </c>
      <c r="E75" s="28">
        <v>14</v>
      </c>
      <c r="F75" s="28">
        <f>(((SUM(Third_Semester_Study_and_Communication_Skills[[#This Row],[Quiz 1]:[Quiz 3]]))/SUM($C$63:$E$63))*$F$63)</f>
        <v>11.222222222222221</v>
      </c>
      <c r="G75" s="27">
        <f>ROUND(Third_Semester_Study_and_Communication_Skills[[#This Row],[Quiz Average]],0)</f>
        <v>11</v>
      </c>
      <c r="H75" s="31">
        <v>2</v>
      </c>
      <c r="I75" s="31">
        <v>5</v>
      </c>
      <c r="J75" s="31">
        <v>6</v>
      </c>
      <c r="K75" s="93">
        <f>SUM(Third_Semester_Study_and_Communication_Skills[[#This Row],[Assignment]:[Attendance]])</f>
        <v>13</v>
      </c>
      <c r="L75" s="27">
        <f>ROUND(Third_Semester_Study_and_Communication_Skills[[#This Row],[Total out of APA]],0)</f>
        <v>13</v>
      </c>
      <c r="M75" s="28">
        <v>2.5</v>
      </c>
      <c r="N75" s="28">
        <v>40</v>
      </c>
      <c r="O75" s="28">
        <f>SUM(Third_Semester_Study_and_Communication_Skills[[#This Row],[Midterm]:[Final]])</f>
        <v>42.5</v>
      </c>
      <c r="P75" s="42">
        <f>ROUND(Third_Semester_Study_and_Communication_Skills[[#This Row],[Mid &amp; Final]],0)</f>
        <v>43</v>
      </c>
      <c r="Q75" s="42">
        <f t="shared" si="8"/>
        <v>67</v>
      </c>
      <c r="R75" s="46" t="str">
        <f t="shared" si="9"/>
        <v>B+</v>
      </c>
      <c r="S75" s="44" t="str">
        <f t="shared" si="10"/>
        <v>3.25</v>
      </c>
      <c r="T75" s="34" t="str">
        <f t="shared" si="11"/>
        <v>Good</v>
      </c>
    </row>
    <row r="76" spans="1:22" s="21" customFormat="1" x14ac:dyDescent="0.25">
      <c r="A76" s="6" t="s">
        <v>11</v>
      </c>
      <c r="B76" s="225" t="s">
        <v>31</v>
      </c>
      <c r="C76" s="221"/>
      <c r="D76" s="221"/>
      <c r="E76" s="221"/>
      <c r="F76" s="221"/>
      <c r="G76" s="226"/>
      <c r="H76" s="220"/>
      <c r="I76" s="220"/>
      <c r="J76" s="220"/>
      <c r="K76" s="4"/>
      <c r="L76" s="226"/>
      <c r="M76" s="221"/>
      <c r="N76" s="221"/>
      <c r="O76" s="221"/>
      <c r="P76" s="222"/>
      <c r="Q76" s="222"/>
      <c r="R76" s="223"/>
      <c r="S76" s="224"/>
      <c r="T76" s="219"/>
    </row>
    <row r="77" spans="1:22" s="21" customFormat="1" x14ac:dyDescent="0.25">
      <c r="A77" s="1" t="s">
        <v>12</v>
      </c>
      <c r="B77" s="29" t="s">
        <v>37</v>
      </c>
      <c r="C77" s="28">
        <v>5.666666666666667</v>
      </c>
      <c r="D77" s="28">
        <v>6</v>
      </c>
      <c r="E77" s="28">
        <v>7.333333333333333</v>
      </c>
      <c r="F77" s="28">
        <f>(((SUM(Third_Semester_Study_and_Communication_Skills[[#This Row],[Quiz 1]:[Quiz 3]]))/SUM($C$63:$E$63))*$F$63)</f>
        <v>6.333333333333333</v>
      </c>
      <c r="G77" s="27">
        <f>ROUND(Third_Semester_Study_and_Communication_Skills[[#This Row],[Quiz Average]],0)</f>
        <v>6</v>
      </c>
      <c r="H77" s="31">
        <v>2</v>
      </c>
      <c r="I77" s="31">
        <v>5</v>
      </c>
      <c r="J77" s="31">
        <v>5</v>
      </c>
      <c r="K77" s="93">
        <f>SUM(Third_Semester_Study_and_Communication_Skills[[#This Row],[Assignment]:[Attendance]])</f>
        <v>12</v>
      </c>
      <c r="L77" s="27">
        <f>ROUND(Third_Semester_Study_and_Communication_Skills[[#This Row],[Total out of APA]],0)</f>
        <v>12</v>
      </c>
      <c r="M77" s="28">
        <v>4</v>
      </c>
      <c r="N77" s="28">
        <v>24.5</v>
      </c>
      <c r="O77" s="28">
        <f>SUM(Third_Semester_Study_and_Communication_Skills[[#This Row],[Midterm]:[Final]])</f>
        <v>28.5</v>
      </c>
      <c r="P77" s="42">
        <f>ROUND(Third_Semester_Study_and_Communication_Skills[[#This Row],[Mid &amp; Final]],0)</f>
        <v>29</v>
      </c>
      <c r="Q77" s="42">
        <f t="shared" si="8"/>
        <v>47</v>
      </c>
      <c r="R77" s="46" t="str">
        <f t="shared" si="9"/>
        <v>C</v>
      </c>
      <c r="S77" s="44" t="str">
        <f t="shared" si="10"/>
        <v>2.25</v>
      </c>
      <c r="T77" s="34" t="str">
        <f t="shared" si="11"/>
        <v>Bellow Average</v>
      </c>
    </row>
    <row r="78" spans="1:22" s="21" customFormat="1" x14ac:dyDescent="0.25">
      <c r="A78" s="1" t="s">
        <v>13</v>
      </c>
      <c r="B78" s="29" t="s">
        <v>38</v>
      </c>
      <c r="C78" s="28">
        <v>10.666666666666666</v>
      </c>
      <c r="D78" s="28">
        <v>4.333333333333333</v>
      </c>
      <c r="E78" s="28">
        <v>1.6666666666666667</v>
      </c>
      <c r="F78" s="28">
        <f>(((SUM(Third_Semester_Study_and_Communication_Skills[[#This Row],[Quiz 1]:[Quiz 3]]))/SUM($C$63:$E$63))*$F$63)</f>
        <v>5.5555555555555562</v>
      </c>
      <c r="G78" s="27">
        <f>ROUND(Third_Semester_Study_and_Communication_Skills[[#This Row],[Quiz Average]],0)</f>
        <v>6</v>
      </c>
      <c r="H78" s="31">
        <v>5</v>
      </c>
      <c r="I78" s="31">
        <v>4</v>
      </c>
      <c r="J78" s="31">
        <v>5</v>
      </c>
      <c r="K78" s="93">
        <f>SUM(Third_Semester_Study_and_Communication_Skills[[#This Row],[Assignment]:[Attendance]])</f>
        <v>14</v>
      </c>
      <c r="L78" s="27">
        <f>ROUND(Third_Semester_Study_and_Communication_Skills[[#This Row],[Total out of APA]],0)</f>
        <v>14</v>
      </c>
      <c r="M78" s="28">
        <v>19.5</v>
      </c>
      <c r="N78" s="28">
        <v>10.5</v>
      </c>
      <c r="O78" s="28">
        <f>SUM(Third_Semester_Study_and_Communication_Skills[[#This Row],[Midterm]:[Final]])</f>
        <v>30</v>
      </c>
      <c r="P78" s="42">
        <f>ROUND(Third_Semester_Study_and_Communication_Skills[[#This Row],[Mid &amp; Final]],0)</f>
        <v>30</v>
      </c>
      <c r="Q78" s="42">
        <f t="shared" si="8"/>
        <v>50</v>
      </c>
      <c r="R78" s="46" t="str">
        <f t="shared" si="9"/>
        <v>C+</v>
      </c>
      <c r="S78" s="44" t="str">
        <f t="shared" si="10"/>
        <v>2.50</v>
      </c>
      <c r="T78" s="34" t="str">
        <f t="shared" si="11"/>
        <v>Average</v>
      </c>
      <c r="V78" s="110"/>
    </row>
    <row r="79" spans="1:22" s="21" customFormat="1" x14ac:dyDescent="0.25">
      <c r="A79" s="1" t="s">
        <v>14</v>
      </c>
      <c r="B79" s="29" t="s">
        <v>39</v>
      </c>
      <c r="C79" s="28">
        <v>14.333333333333334</v>
      </c>
      <c r="D79" s="28">
        <v>10.666666666666666</v>
      </c>
      <c r="E79" s="28">
        <v>10</v>
      </c>
      <c r="F79" s="28">
        <f>(((SUM(Third_Semester_Study_and_Communication_Skills[[#This Row],[Quiz 1]:[Quiz 3]]))/SUM($C$63:$E$63))*$F$63)</f>
        <v>11.666666666666666</v>
      </c>
      <c r="G79" s="27">
        <f>ROUND(Third_Semester_Study_and_Communication_Skills[[#This Row],[Quiz Average]],0)</f>
        <v>12</v>
      </c>
      <c r="H79" s="31">
        <v>2</v>
      </c>
      <c r="I79" s="31">
        <v>4</v>
      </c>
      <c r="J79" s="31">
        <v>4</v>
      </c>
      <c r="K79" s="93">
        <f>SUM(Third_Semester_Study_and_Communication_Skills[[#This Row],[Assignment]:[Attendance]])</f>
        <v>10</v>
      </c>
      <c r="L79" s="27">
        <f>ROUND(Third_Semester_Study_and_Communication_Skills[[#This Row],[Total out of APA]],0)</f>
        <v>10</v>
      </c>
      <c r="M79" s="28">
        <v>23.5</v>
      </c>
      <c r="N79" s="28">
        <v>33</v>
      </c>
      <c r="O79" s="28">
        <f>SUM(Third_Semester_Study_and_Communication_Skills[[#This Row],[Midterm]:[Final]])</f>
        <v>56.5</v>
      </c>
      <c r="P79" s="42">
        <f>ROUND(Third_Semester_Study_and_Communication_Skills[[#This Row],[Mid &amp; Final]],0)</f>
        <v>57</v>
      </c>
      <c r="Q79" s="42">
        <f t="shared" si="8"/>
        <v>79</v>
      </c>
      <c r="R79" s="46" t="str">
        <f t="shared" si="9"/>
        <v>A</v>
      </c>
      <c r="S79" s="44" t="str">
        <f t="shared" si="10"/>
        <v>3.75</v>
      </c>
      <c r="T79" s="34" t="str">
        <f t="shared" si="11"/>
        <v>Excellent</v>
      </c>
    </row>
    <row r="80" spans="1:22" s="21" customFormat="1" x14ac:dyDescent="0.25">
      <c r="A80" s="1" t="s">
        <v>15</v>
      </c>
      <c r="B80" s="29" t="s">
        <v>40</v>
      </c>
      <c r="C80" s="28">
        <v>11</v>
      </c>
      <c r="D80" s="28">
        <v>7.333333333333333</v>
      </c>
      <c r="E80" s="28">
        <v>3.3333333333333335</v>
      </c>
      <c r="F80" s="28">
        <f>(((SUM(Third_Semester_Study_and_Communication_Skills[[#This Row],[Quiz 1]:[Quiz 3]]))/SUM($C$63:$E$63))*$F$63)</f>
        <v>7.2222222222222214</v>
      </c>
      <c r="G80" s="27">
        <f>ROUND(Third_Semester_Study_and_Communication_Skills[[#This Row],[Quiz Average]],0)</f>
        <v>7</v>
      </c>
      <c r="H80" s="31">
        <v>3</v>
      </c>
      <c r="I80" s="31">
        <v>3</v>
      </c>
      <c r="J80" s="31">
        <v>5</v>
      </c>
      <c r="K80" s="93">
        <f>SUM(Third_Semester_Study_and_Communication_Skills[[#This Row],[Assignment]:[Attendance]])</f>
        <v>11</v>
      </c>
      <c r="L80" s="27">
        <f>ROUND(Third_Semester_Study_and_Communication_Skills[[#This Row],[Total out of APA]],0)</f>
        <v>11</v>
      </c>
      <c r="M80" s="28">
        <v>22</v>
      </c>
      <c r="N80" s="28">
        <v>28.5</v>
      </c>
      <c r="O80" s="28">
        <f>SUM(Third_Semester_Study_and_Communication_Skills[[#This Row],[Midterm]:[Final]])</f>
        <v>50.5</v>
      </c>
      <c r="P80" s="42">
        <f>ROUND(Third_Semester_Study_and_Communication_Skills[[#This Row],[Mid &amp; Final]],0)</f>
        <v>51</v>
      </c>
      <c r="Q80" s="42">
        <f t="shared" si="8"/>
        <v>69</v>
      </c>
      <c r="R80" s="46" t="str">
        <f t="shared" si="9"/>
        <v>B+</v>
      </c>
      <c r="S80" s="44" t="str">
        <f t="shared" si="10"/>
        <v>3.25</v>
      </c>
      <c r="T80" s="34" t="str">
        <f t="shared" si="11"/>
        <v>Good</v>
      </c>
    </row>
    <row r="81" spans="1:20" s="21" customFormat="1" x14ac:dyDescent="0.25">
      <c r="A81" s="6" t="s">
        <v>16</v>
      </c>
      <c r="B81" s="225" t="s">
        <v>31</v>
      </c>
      <c r="C81" s="221"/>
      <c r="D81" s="221"/>
      <c r="E81" s="221"/>
      <c r="F81" s="221"/>
      <c r="G81" s="226"/>
      <c r="H81" s="220"/>
      <c r="I81" s="220"/>
      <c r="J81" s="220"/>
      <c r="K81" s="4"/>
      <c r="L81" s="226"/>
      <c r="M81" s="221"/>
      <c r="N81" s="221"/>
      <c r="O81" s="221"/>
      <c r="P81" s="222"/>
      <c r="Q81" s="222"/>
      <c r="R81" s="223"/>
      <c r="S81" s="224"/>
      <c r="T81" s="219"/>
    </row>
    <row r="82" spans="1:20" x14ac:dyDescent="0.25">
      <c r="A82" s="1" t="s">
        <v>17</v>
      </c>
      <c r="B82" s="29" t="s">
        <v>41</v>
      </c>
      <c r="C82" s="28">
        <v>9.6666666666666661</v>
      </c>
      <c r="D82" s="28">
        <v>14.666666666666666</v>
      </c>
      <c r="E82" s="28">
        <v>7.333333333333333</v>
      </c>
      <c r="F82" s="28">
        <f>(((SUM(Third_Semester_Study_and_Communication_Skills[[#This Row],[Quiz 1]:[Quiz 3]]))/SUM($C$63:$E$63))*$F$63)</f>
        <v>10.555555555555554</v>
      </c>
      <c r="G82" s="27">
        <f>ROUND(Third_Semester_Study_and_Communication_Skills[[#This Row],[Quiz Average]],0)</f>
        <v>11</v>
      </c>
      <c r="H82" s="31">
        <v>5</v>
      </c>
      <c r="I82" s="31">
        <v>4</v>
      </c>
      <c r="J82" s="31">
        <v>2</v>
      </c>
      <c r="K82" s="93">
        <f>SUM(Third_Semester_Study_and_Communication_Skills[[#This Row],[Assignment]:[Attendance]])</f>
        <v>11</v>
      </c>
      <c r="L82" s="27">
        <f>ROUND(Third_Semester_Study_and_Communication_Skills[[#This Row],[Total out of APA]],0)</f>
        <v>11</v>
      </c>
      <c r="M82" s="28">
        <v>20</v>
      </c>
      <c r="N82" s="28">
        <v>39.5</v>
      </c>
      <c r="O82" s="28">
        <f>SUM(Third_Semester_Study_and_Communication_Skills[[#This Row],[Midterm]:[Final]])</f>
        <v>59.5</v>
      </c>
      <c r="P82" s="42">
        <f>ROUND(Third_Semester_Study_and_Communication_Skills[[#This Row],[Mid &amp; Final]],0)</f>
        <v>60</v>
      </c>
      <c r="Q82" s="42">
        <f t="shared" si="8"/>
        <v>82</v>
      </c>
      <c r="R82" s="46" t="str">
        <f t="shared" si="9"/>
        <v>A+</v>
      </c>
      <c r="S82" s="44" t="str">
        <f t="shared" si="10"/>
        <v>4.00</v>
      </c>
      <c r="T82" s="34" t="str">
        <f t="shared" si="11"/>
        <v>Outstanding</v>
      </c>
    </row>
    <row r="83" spans="1:20" x14ac:dyDescent="0.25">
      <c r="A83" s="1" t="s">
        <v>18</v>
      </c>
      <c r="B83" s="29" t="s">
        <v>42</v>
      </c>
      <c r="C83" s="28">
        <v>8.6666666666666661</v>
      </c>
      <c r="D83" s="28">
        <v>2.6666666666666665</v>
      </c>
      <c r="E83" s="28">
        <v>3.6666666666666665</v>
      </c>
      <c r="F83" s="28">
        <f>(((SUM(Third_Semester_Study_and_Communication_Skills[[#This Row],[Quiz 1]:[Quiz 3]]))/SUM($C$63:$E$63))*$F$63)</f>
        <v>5</v>
      </c>
      <c r="G83" s="27">
        <f>ROUND(Third_Semester_Study_and_Communication_Skills[[#This Row],[Quiz Average]],0)</f>
        <v>5</v>
      </c>
      <c r="H83" s="31">
        <v>2</v>
      </c>
      <c r="I83" s="31">
        <v>5</v>
      </c>
      <c r="J83" s="31">
        <v>5</v>
      </c>
      <c r="K83" s="93">
        <f>SUM(Third_Semester_Study_and_Communication_Skills[[#This Row],[Assignment]:[Attendance]])</f>
        <v>12</v>
      </c>
      <c r="L83" s="27">
        <f>ROUND(Third_Semester_Study_and_Communication_Skills[[#This Row],[Total out of APA]],0)</f>
        <v>12</v>
      </c>
      <c r="M83" s="28">
        <v>12</v>
      </c>
      <c r="N83" s="28">
        <v>39.5</v>
      </c>
      <c r="O83" s="28">
        <f>SUM(Third_Semester_Study_and_Communication_Skills[[#This Row],[Midterm]:[Final]])</f>
        <v>51.5</v>
      </c>
      <c r="P83" s="42">
        <f>ROUND(Third_Semester_Study_and_Communication_Skills[[#This Row],[Mid &amp; Final]],0)</f>
        <v>52</v>
      </c>
      <c r="Q83" s="42">
        <f t="shared" si="8"/>
        <v>69</v>
      </c>
      <c r="R83" s="46" t="str">
        <f t="shared" si="9"/>
        <v>B+</v>
      </c>
      <c r="S83" s="44" t="str">
        <f t="shared" si="10"/>
        <v>3.25</v>
      </c>
      <c r="T83" s="34" t="str">
        <f t="shared" si="11"/>
        <v>Good</v>
      </c>
    </row>
    <row r="84" spans="1:20" x14ac:dyDescent="0.25">
      <c r="A84" s="1" t="s">
        <v>19</v>
      </c>
      <c r="B84" s="29" t="s">
        <v>43</v>
      </c>
      <c r="C84" s="28">
        <v>12.666666666666666</v>
      </c>
      <c r="D84" s="28">
        <v>2.3333333333333335</v>
      </c>
      <c r="E84" s="28">
        <v>6.666666666666667</v>
      </c>
      <c r="F84" s="28">
        <f>(((SUM(Third_Semester_Study_and_Communication_Skills[[#This Row],[Quiz 1]:[Quiz 3]]))/SUM($C$63:$E$63))*$F$63)</f>
        <v>7.2222222222222223</v>
      </c>
      <c r="G84" s="27">
        <f>ROUND(Third_Semester_Study_and_Communication_Skills[[#This Row],[Quiz Average]],0)</f>
        <v>7</v>
      </c>
      <c r="H84" s="31">
        <v>2</v>
      </c>
      <c r="I84" s="31">
        <v>5</v>
      </c>
      <c r="J84" s="31">
        <v>7</v>
      </c>
      <c r="K84" s="93">
        <f>SUM(Third_Semester_Study_and_Communication_Skills[[#This Row],[Assignment]:[Attendance]])</f>
        <v>14</v>
      </c>
      <c r="L84" s="27">
        <f>ROUND(Third_Semester_Study_and_Communication_Skills[[#This Row],[Total out of APA]],0)</f>
        <v>14</v>
      </c>
      <c r="M84" s="28">
        <v>5</v>
      </c>
      <c r="N84" s="28">
        <v>25.5</v>
      </c>
      <c r="O84" s="28">
        <f>SUM(Third_Semester_Study_and_Communication_Skills[[#This Row],[Midterm]:[Final]])</f>
        <v>30.5</v>
      </c>
      <c r="P84" s="42">
        <f>ROUND(Third_Semester_Study_and_Communication_Skills[[#This Row],[Mid &amp; Final]],0)</f>
        <v>31</v>
      </c>
      <c r="Q84" s="42">
        <f t="shared" si="8"/>
        <v>52</v>
      </c>
      <c r="R84" s="46" t="str">
        <f t="shared" si="9"/>
        <v>C+</v>
      </c>
      <c r="S84" s="44" t="str">
        <f t="shared" si="10"/>
        <v>2.50</v>
      </c>
      <c r="T84" s="34" t="str">
        <f t="shared" si="11"/>
        <v>Average</v>
      </c>
    </row>
    <row r="85" spans="1:20" x14ac:dyDescent="0.25">
      <c r="A85" s="1" t="s">
        <v>23</v>
      </c>
      <c r="B85" s="29" t="s">
        <v>44</v>
      </c>
      <c r="C85" s="28">
        <v>3.3333333333333335</v>
      </c>
      <c r="D85" s="28">
        <v>11.333333333333334</v>
      </c>
      <c r="E85" s="28">
        <v>8.3333333333333339</v>
      </c>
      <c r="F85" s="28">
        <f>(((SUM(Third_Semester_Study_and_Communication_Skills[[#This Row],[Quiz 1]:[Quiz 3]]))/SUM($C$63:$E$63))*$F$63)</f>
        <v>7.6666666666666661</v>
      </c>
      <c r="G85" s="27">
        <f>ROUND(Third_Semester_Study_and_Communication_Skills[[#This Row],[Quiz Average]],0)</f>
        <v>8</v>
      </c>
      <c r="H85" s="31">
        <v>5</v>
      </c>
      <c r="I85" s="31">
        <v>7</v>
      </c>
      <c r="J85" s="31">
        <v>4</v>
      </c>
      <c r="K85" s="93">
        <f>SUM(Third_Semester_Study_and_Communication_Skills[[#This Row],[Assignment]:[Attendance]])</f>
        <v>16</v>
      </c>
      <c r="L85" s="27">
        <f>ROUND(Third_Semester_Study_and_Communication_Skills[[#This Row],[Total out of APA]],0)</f>
        <v>16</v>
      </c>
      <c r="M85" s="28">
        <v>13.5</v>
      </c>
      <c r="N85" s="28">
        <v>19.5</v>
      </c>
      <c r="O85" s="28">
        <f>SUM(Third_Semester_Study_and_Communication_Skills[[#This Row],[Midterm]:[Final]])</f>
        <v>33</v>
      </c>
      <c r="P85" s="42">
        <f>ROUND(Third_Semester_Study_and_Communication_Skills[[#This Row],[Mid &amp; Final]],0)</f>
        <v>33</v>
      </c>
      <c r="Q85" s="42">
        <f t="shared" si="8"/>
        <v>57</v>
      </c>
      <c r="R85" s="46" t="str">
        <f t="shared" si="9"/>
        <v>B-</v>
      </c>
      <c r="S85" s="44" t="str">
        <f t="shared" si="10"/>
        <v>2.75</v>
      </c>
      <c r="T85" s="34" t="str">
        <f t="shared" si="11"/>
        <v>Above Average</v>
      </c>
    </row>
    <row r="86" spans="1:20" x14ac:dyDescent="0.25">
      <c r="A86" s="1" t="s">
        <v>24</v>
      </c>
      <c r="B86" s="29" t="s">
        <v>45</v>
      </c>
      <c r="C86" s="28">
        <v>4.666666666666667</v>
      </c>
      <c r="D86" s="28">
        <v>5.666666666666667</v>
      </c>
      <c r="E86" s="28">
        <v>1</v>
      </c>
      <c r="F86" s="28">
        <f>(((SUM(Third_Semester_Study_and_Communication_Skills[[#This Row],[Quiz 1]:[Quiz 3]]))/SUM($C$63:$E$63))*$F$63)</f>
        <v>3.7777777777777781</v>
      </c>
      <c r="G86" s="27">
        <f>ROUND(Third_Semester_Study_and_Communication_Skills[[#This Row],[Quiz Average]],0)</f>
        <v>4</v>
      </c>
      <c r="H86" s="31">
        <v>5</v>
      </c>
      <c r="I86" s="31">
        <v>8</v>
      </c>
      <c r="J86" s="31">
        <v>7</v>
      </c>
      <c r="K86" s="93">
        <f>SUM(Third_Semester_Study_and_Communication_Skills[[#This Row],[Assignment]:[Attendance]])</f>
        <v>20</v>
      </c>
      <c r="L86" s="27">
        <f>ROUND(Third_Semester_Study_and_Communication_Skills[[#This Row],[Total out of APA]],0)</f>
        <v>20</v>
      </c>
      <c r="M86" s="28">
        <v>23</v>
      </c>
      <c r="N86" s="28">
        <v>21</v>
      </c>
      <c r="O86" s="28">
        <f>SUM(Third_Semester_Study_and_Communication_Skills[[#This Row],[Midterm]:[Final]])</f>
        <v>44</v>
      </c>
      <c r="P86" s="42">
        <f>ROUND(Third_Semester_Study_and_Communication_Skills[[#This Row],[Mid &amp; Final]],0)</f>
        <v>44</v>
      </c>
      <c r="Q86" s="42">
        <f t="shared" si="8"/>
        <v>68</v>
      </c>
      <c r="R86" s="46" t="str">
        <f t="shared" si="9"/>
        <v>B+</v>
      </c>
      <c r="S86" s="44" t="str">
        <f t="shared" si="10"/>
        <v>3.25</v>
      </c>
      <c r="T86" s="34" t="str">
        <f t="shared" si="11"/>
        <v>Good</v>
      </c>
    </row>
    <row r="87" spans="1:20" x14ac:dyDescent="0.25">
      <c r="A87" s="1" t="s">
        <v>25</v>
      </c>
      <c r="B87" s="29" t="s">
        <v>46</v>
      </c>
      <c r="C87" s="28">
        <v>10</v>
      </c>
      <c r="D87" s="28">
        <v>1.6666666666666667</v>
      </c>
      <c r="E87" s="28">
        <v>10.333333333333334</v>
      </c>
      <c r="F87" s="28">
        <f>(((SUM(Third_Semester_Study_and_Communication_Skills[[#This Row],[Quiz 1]:[Quiz 3]]))/SUM($C$63:$E$63))*$F$63)</f>
        <v>7.333333333333333</v>
      </c>
      <c r="G87" s="27">
        <f>ROUND(Third_Semester_Study_and_Communication_Skills[[#This Row],[Quiz Average]],0)</f>
        <v>7</v>
      </c>
      <c r="H87" s="31">
        <v>4</v>
      </c>
      <c r="I87" s="31">
        <v>8</v>
      </c>
      <c r="J87" s="31">
        <v>5</v>
      </c>
      <c r="K87" s="93">
        <f>SUM(Third_Semester_Study_and_Communication_Skills[[#This Row],[Assignment]:[Attendance]])</f>
        <v>17</v>
      </c>
      <c r="L87" s="27">
        <f>ROUND(Third_Semester_Study_and_Communication_Skills[[#This Row],[Total out of APA]],0)</f>
        <v>17</v>
      </c>
      <c r="M87" s="28">
        <v>17</v>
      </c>
      <c r="N87" s="28">
        <v>24.5</v>
      </c>
      <c r="O87" s="28">
        <f>SUM(Third_Semester_Study_and_Communication_Skills[[#This Row],[Midterm]:[Final]])</f>
        <v>41.5</v>
      </c>
      <c r="P87" s="42">
        <f>ROUND(Third_Semester_Study_and_Communication_Skills[[#This Row],[Mid &amp; Final]],0)</f>
        <v>42</v>
      </c>
      <c r="Q87" s="42">
        <f t="shared" si="8"/>
        <v>66</v>
      </c>
      <c r="R87" s="46" t="str">
        <f t="shared" si="9"/>
        <v>B+</v>
      </c>
      <c r="S87" s="44" t="str">
        <f t="shared" si="10"/>
        <v>3.25</v>
      </c>
      <c r="T87" s="34" t="str">
        <f t="shared" si="11"/>
        <v>Good</v>
      </c>
    </row>
    <row r="88" spans="1:20" x14ac:dyDescent="0.25">
      <c r="A88" s="1" t="s">
        <v>26</v>
      </c>
      <c r="B88" s="29" t="s">
        <v>47</v>
      </c>
      <c r="C88" s="28">
        <v>6.333333333333333</v>
      </c>
      <c r="D88" s="28">
        <v>4.333333333333333</v>
      </c>
      <c r="E88" s="28">
        <v>5.333333333333333</v>
      </c>
      <c r="F88" s="28">
        <f>(((SUM(Third_Semester_Study_and_Communication_Skills[[#This Row],[Quiz 1]:[Quiz 3]]))/SUM($C$63:$E$63))*$F$63)</f>
        <v>5.3333333333333339</v>
      </c>
      <c r="G88" s="27">
        <f>ROUND(Third_Semester_Study_and_Communication_Skills[[#This Row],[Quiz Average]],0)</f>
        <v>5</v>
      </c>
      <c r="H88" s="31">
        <v>4</v>
      </c>
      <c r="I88" s="31">
        <v>3</v>
      </c>
      <c r="J88" s="31">
        <v>6</v>
      </c>
      <c r="K88" s="93">
        <f>SUM(Third_Semester_Study_and_Communication_Skills[[#This Row],[Assignment]:[Attendance]])</f>
        <v>13</v>
      </c>
      <c r="L88" s="27">
        <f>ROUND(Third_Semester_Study_and_Communication_Skills[[#This Row],[Total out of APA]],0)</f>
        <v>13</v>
      </c>
      <c r="M88" s="28">
        <v>5.5</v>
      </c>
      <c r="N88" s="28">
        <v>36</v>
      </c>
      <c r="O88" s="28">
        <f>SUM(Third_Semester_Study_and_Communication_Skills[[#This Row],[Midterm]:[Final]])</f>
        <v>41.5</v>
      </c>
      <c r="P88" s="42">
        <f>ROUND(Third_Semester_Study_and_Communication_Skills[[#This Row],[Mid &amp; Final]],0)</f>
        <v>42</v>
      </c>
      <c r="Q88" s="42">
        <f t="shared" si="8"/>
        <v>60</v>
      </c>
      <c r="R88" s="46" t="str">
        <f t="shared" si="9"/>
        <v>B</v>
      </c>
      <c r="S88" s="44" t="str">
        <f t="shared" si="10"/>
        <v>3.00</v>
      </c>
      <c r="T88" s="34" t="str">
        <f t="shared" si="11"/>
        <v>Satisfactory</v>
      </c>
    </row>
    <row r="89" spans="1:20" x14ac:dyDescent="0.25">
      <c r="A89" s="1" t="s">
        <v>50</v>
      </c>
      <c r="B89" s="29" t="s">
        <v>51</v>
      </c>
      <c r="C89" s="28">
        <v>5.333333333333333</v>
      </c>
      <c r="D89" s="28">
        <v>13.333333333333334</v>
      </c>
      <c r="E89" s="28">
        <v>10</v>
      </c>
      <c r="F89" s="28">
        <f>(((SUM(Third_Semester_Study_and_Communication_Skills[[#This Row],[Quiz 1]:[Quiz 3]]))/SUM($C$63:$E$63))*$F$63)</f>
        <v>9.5555555555555554</v>
      </c>
      <c r="G89" s="27">
        <f>ROUND(Third_Semester_Study_and_Communication_Skills[[#This Row],[Quiz Average]],0)</f>
        <v>10</v>
      </c>
      <c r="H89" s="31">
        <v>4</v>
      </c>
      <c r="I89" s="31">
        <v>3</v>
      </c>
      <c r="J89" s="31">
        <v>3</v>
      </c>
      <c r="K89" s="93">
        <f>SUM(Third_Semester_Study_and_Communication_Skills[[#This Row],[Assignment]:[Attendance]])</f>
        <v>10</v>
      </c>
      <c r="L89" s="27">
        <f>ROUND(Third_Semester_Study_and_Communication_Skills[[#This Row],[Total out of APA]],0)</f>
        <v>10</v>
      </c>
      <c r="M89" s="28">
        <v>11</v>
      </c>
      <c r="N89" s="28">
        <v>27.5</v>
      </c>
      <c r="O89" s="28">
        <f>SUM(Third_Semester_Study_and_Communication_Skills[[#This Row],[Midterm]:[Final]])</f>
        <v>38.5</v>
      </c>
      <c r="P89" s="42">
        <f>ROUND(Third_Semester_Study_and_Communication_Skills[[#This Row],[Mid &amp; Final]],0)</f>
        <v>39</v>
      </c>
      <c r="Q89" s="42">
        <f t="shared" si="8"/>
        <v>59</v>
      </c>
      <c r="R89" s="46" t="str">
        <f t="shared" si="9"/>
        <v>B-</v>
      </c>
      <c r="S89" s="44" t="str">
        <f t="shared" si="10"/>
        <v>2.75</v>
      </c>
      <c r="T89" s="34" t="str">
        <f t="shared" si="11"/>
        <v>Above Average</v>
      </c>
    </row>
    <row r="90" spans="1:20" x14ac:dyDescent="0.25">
      <c r="A90" s="1" t="s">
        <v>53</v>
      </c>
      <c r="B90" s="29" t="s">
        <v>54</v>
      </c>
      <c r="C90" s="28">
        <v>6</v>
      </c>
      <c r="D90" s="28">
        <v>11</v>
      </c>
      <c r="E90" s="28">
        <v>14.666666666666666</v>
      </c>
      <c r="F90" s="28">
        <f>(((SUM(Third_Semester_Study_and_Communication_Skills[[#This Row],[Quiz 1]:[Quiz 3]]))/SUM($C$63:$E$63))*$F$63)</f>
        <v>10.555555555555554</v>
      </c>
      <c r="G90" s="27">
        <f>ROUND(Third_Semester_Study_and_Communication_Skills[[#This Row],[Quiz Average]],0)</f>
        <v>11</v>
      </c>
      <c r="H90" s="31">
        <v>2</v>
      </c>
      <c r="I90" s="31">
        <v>2</v>
      </c>
      <c r="J90" s="31">
        <v>5</v>
      </c>
      <c r="K90" s="93">
        <f>SUM(Third_Semester_Study_and_Communication_Skills[[#This Row],[Assignment]:[Attendance]])</f>
        <v>9</v>
      </c>
      <c r="L90" s="27">
        <f>ROUND(Third_Semester_Study_and_Communication_Skills[[#This Row],[Total out of APA]],0)</f>
        <v>9</v>
      </c>
      <c r="M90" s="28">
        <v>14</v>
      </c>
      <c r="N90" s="28">
        <v>24</v>
      </c>
      <c r="O90" s="28">
        <f>SUM(Third_Semester_Study_and_Communication_Skills[[#This Row],[Midterm]:[Final]])</f>
        <v>38</v>
      </c>
      <c r="P90" s="42">
        <f>ROUND(Third_Semester_Study_and_Communication_Skills[[#This Row],[Mid &amp; Final]],0)</f>
        <v>38</v>
      </c>
      <c r="Q90" s="42">
        <f t="shared" si="8"/>
        <v>58</v>
      </c>
      <c r="R90" s="46" t="str">
        <f t="shared" si="9"/>
        <v>B-</v>
      </c>
      <c r="S90" s="44" t="str">
        <f t="shared" si="10"/>
        <v>2.75</v>
      </c>
      <c r="T90" s="34" t="str">
        <f t="shared" si="11"/>
        <v>Above Average</v>
      </c>
    </row>
    <row r="91" spans="1:20" ht="15.75" thickBot="1" x14ac:dyDescent="0.3">
      <c r="A91" s="35" t="s">
        <v>60</v>
      </c>
      <c r="B91" s="36" t="s">
        <v>61</v>
      </c>
      <c r="C91" s="37">
        <v>11.333333333333334</v>
      </c>
      <c r="D91" s="37">
        <v>10.333333333333334</v>
      </c>
      <c r="E91" s="37">
        <v>14</v>
      </c>
      <c r="F91" s="37">
        <f>(((SUM(Third_Semester_Study_and_Communication_Skills[[#This Row],[Quiz 1]:[Quiz 3]]))/SUM($C$63:$E$63))*$F$63)</f>
        <v>11.888888888888891</v>
      </c>
      <c r="G91" s="38">
        <f>ROUND(Third_Semester_Study_and_Communication_Skills[[#This Row],[Quiz Average]],0)</f>
        <v>12</v>
      </c>
      <c r="H91" s="39">
        <v>4</v>
      </c>
      <c r="I91" s="39">
        <v>3</v>
      </c>
      <c r="J91" s="39">
        <v>3</v>
      </c>
      <c r="K91" s="40">
        <f>SUM(Third_Semester_Study_and_Communication_Skills[[#This Row],[Assignment]:[Attendance]])</f>
        <v>10</v>
      </c>
      <c r="L91" s="38">
        <f>ROUND(Third_Semester_Study_and_Communication_Skills[[#This Row],[Total out of APA]],0)</f>
        <v>10</v>
      </c>
      <c r="M91" s="37">
        <v>19</v>
      </c>
      <c r="N91" s="37">
        <v>9</v>
      </c>
      <c r="O91" s="37">
        <f>SUM(Third_Semester_Study_and_Communication_Skills[[#This Row],[Midterm]:[Final]])</f>
        <v>28</v>
      </c>
      <c r="P91" s="43">
        <f>ROUND(Third_Semester_Study_and_Communication_Skills[[#This Row],[Mid &amp; Final]],0)</f>
        <v>28</v>
      </c>
      <c r="Q91" s="59">
        <f t="shared" si="8"/>
        <v>50</v>
      </c>
      <c r="R91" s="47" t="str">
        <f t="shared" si="9"/>
        <v>C+</v>
      </c>
      <c r="S91" s="45" t="str">
        <f t="shared" si="10"/>
        <v>2.50</v>
      </c>
      <c r="T91" s="41" t="str">
        <f t="shared" si="11"/>
        <v>Average</v>
      </c>
    </row>
    <row r="92" spans="1:20" x14ac:dyDescent="0.25">
      <c r="A92" s="68"/>
      <c r="B92" s="68"/>
      <c r="C92" s="30"/>
      <c r="D92" s="30"/>
      <c r="E92" s="30"/>
      <c r="F92" s="30"/>
      <c r="G92" s="69"/>
      <c r="H92" s="71"/>
      <c r="I92" s="71"/>
      <c r="J92" s="71"/>
      <c r="K92" s="69"/>
      <c r="L92" s="69"/>
      <c r="M92" s="30"/>
      <c r="N92" s="30"/>
      <c r="O92" s="30"/>
      <c r="P92" s="70"/>
      <c r="Q92" s="70"/>
      <c r="R92" s="30"/>
      <c r="S92" s="30"/>
      <c r="T92" s="30"/>
    </row>
    <row r="93" spans="1:20" x14ac:dyDescent="0.25">
      <c r="A93" s="68"/>
      <c r="B93" s="68"/>
      <c r="C93" s="30"/>
      <c r="D93" s="30"/>
      <c r="E93" s="30"/>
      <c r="F93" s="30"/>
      <c r="G93" s="69"/>
      <c r="H93" s="71"/>
      <c r="I93" s="71"/>
      <c r="J93" s="71"/>
      <c r="K93" s="69"/>
      <c r="L93" s="69"/>
      <c r="M93" s="30"/>
      <c r="N93" s="30"/>
      <c r="O93" s="30"/>
      <c r="P93" s="70"/>
      <c r="Q93" s="70"/>
      <c r="R93" s="30"/>
      <c r="S93" s="30"/>
      <c r="T93" s="30"/>
    </row>
    <row r="94" spans="1:20" x14ac:dyDescent="0.25">
      <c r="A94" s="68"/>
      <c r="B94" s="68"/>
      <c r="C94" s="30"/>
      <c r="D94" s="30"/>
      <c r="E94" s="30"/>
      <c r="F94" s="30"/>
      <c r="G94" s="69"/>
      <c r="H94" s="71"/>
      <c r="I94" s="71"/>
      <c r="J94" s="71"/>
      <c r="K94" s="69"/>
      <c r="L94" s="69"/>
      <c r="M94" s="30"/>
      <c r="N94" s="30"/>
      <c r="O94" s="30"/>
      <c r="P94" s="70"/>
      <c r="Q94" s="70"/>
      <c r="R94" s="30"/>
      <c r="S94" s="30"/>
      <c r="T94" s="30"/>
    </row>
    <row r="95" spans="1:20" x14ac:dyDescent="0.25">
      <c r="A95" s="68"/>
      <c r="B95" s="68"/>
      <c r="C95" s="30"/>
      <c r="D95" s="30"/>
      <c r="E95" s="30"/>
      <c r="F95" s="30"/>
      <c r="G95" s="69"/>
      <c r="H95" s="71"/>
      <c r="I95" s="71"/>
      <c r="J95" s="71"/>
      <c r="K95" s="69"/>
      <c r="L95" s="69"/>
      <c r="M95" s="30"/>
      <c r="N95" s="30"/>
      <c r="O95" s="30"/>
      <c r="P95" s="70"/>
      <c r="Q95" s="70"/>
      <c r="R95" s="30"/>
      <c r="S95" s="30"/>
      <c r="T95" s="30"/>
    </row>
    <row r="96" spans="1:20" x14ac:dyDescent="0.25">
      <c r="A96" s="68"/>
      <c r="B96" s="68"/>
      <c r="C96" s="30"/>
      <c r="D96" s="30"/>
      <c r="E96" s="30"/>
      <c r="F96" s="30"/>
      <c r="G96" s="69"/>
      <c r="H96" s="71"/>
      <c r="I96" s="71"/>
      <c r="J96" s="71"/>
      <c r="K96" s="69"/>
      <c r="L96" s="69"/>
      <c r="M96" s="30"/>
      <c r="N96" s="30"/>
      <c r="O96" s="30"/>
      <c r="P96" s="70"/>
      <c r="Q96" s="70"/>
      <c r="R96" s="30"/>
      <c r="S96" s="30"/>
      <c r="T96" s="30"/>
    </row>
    <row r="97" spans="1:20" x14ac:dyDescent="0.25">
      <c r="A97" s="68"/>
      <c r="B97" s="68"/>
      <c r="C97" s="30"/>
      <c r="D97" s="30"/>
      <c r="E97" s="30"/>
      <c r="F97" s="30"/>
      <c r="G97" s="69"/>
      <c r="H97" s="71"/>
      <c r="I97" s="71"/>
      <c r="J97" s="71"/>
      <c r="K97" s="69"/>
      <c r="L97" s="69"/>
      <c r="M97" s="30"/>
      <c r="N97" s="30"/>
      <c r="O97" s="30"/>
      <c r="P97" s="70"/>
      <c r="Q97" s="70"/>
      <c r="R97" s="30"/>
      <c r="S97" s="30"/>
      <c r="T97" s="30"/>
    </row>
    <row r="107" spans="1:20" ht="27" customHeight="1" x14ac:dyDescent="0.25">
      <c r="A107" s="293" t="s">
        <v>163</v>
      </c>
      <c r="B107" s="293"/>
      <c r="C107" s="56" t="s">
        <v>165</v>
      </c>
      <c r="D107" s="56"/>
      <c r="E107" s="56"/>
      <c r="F107" s="294" t="s">
        <v>347</v>
      </c>
      <c r="G107" s="294"/>
      <c r="H107" s="294"/>
      <c r="I107" s="294"/>
      <c r="J107" s="294"/>
      <c r="K107" s="294"/>
      <c r="L107" s="294"/>
      <c r="M107" s="56"/>
      <c r="N107" s="56"/>
      <c r="O107" s="64" t="s">
        <v>167</v>
      </c>
      <c r="P107" s="65">
        <v>44531</v>
      </c>
      <c r="Q107" s="56"/>
      <c r="R107" s="56"/>
    </row>
    <row r="108" spans="1:20" ht="27" customHeight="1" thickBot="1" x14ac:dyDescent="0.3">
      <c r="A108" s="296" t="s">
        <v>164</v>
      </c>
      <c r="B108" s="296"/>
      <c r="C108" s="63" t="s">
        <v>166</v>
      </c>
      <c r="D108" s="63"/>
      <c r="E108" s="62"/>
      <c r="F108" s="295"/>
      <c r="G108" s="295"/>
      <c r="H108" s="295"/>
      <c r="I108" s="295"/>
      <c r="J108" s="295"/>
      <c r="K108" s="295"/>
      <c r="L108" s="295"/>
      <c r="M108" s="32"/>
      <c r="N108" s="32"/>
      <c r="O108" s="72" t="s">
        <v>168</v>
      </c>
      <c r="P108" s="73">
        <v>0.91666666666666663</v>
      </c>
      <c r="Q108" s="9"/>
      <c r="R108" s="9"/>
    </row>
    <row r="109" spans="1:20" x14ac:dyDescent="0.25">
      <c r="A109" s="58" t="s">
        <v>0</v>
      </c>
      <c r="B109" s="57" t="s">
        <v>20</v>
      </c>
      <c r="C109" s="93" t="s">
        <v>132</v>
      </c>
      <c r="D109" s="93" t="s">
        <v>133</v>
      </c>
      <c r="E109" s="93" t="s">
        <v>134</v>
      </c>
      <c r="F109" s="98" t="s">
        <v>135</v>
      </c>
      <c r="G109" s="227" t="s">
        <v>136</v>
      </c>
      <c r="H109" s="93" t="s">
        <v>139</v>
      </c>
      <c r="I109" s="93" t="s">
        <v>137</v>
      </c>
      <c r="J109" s="93" t="s">
        <v>144</v>
      </c>
      <c r="K109" s="93" t="s">
        <v>169</v>
      </c>
      <c r="L109" s="33" t="s">
        <v>170</v>
      </c>
      <c r="M109" s="75" t="s">
        <v>147</v>
      </c>
      <c r="N109" s="75" t="s">
        <v>148</v>
      </c>
      <c r="O109" s="48" t="s">
        <v>149</v>
      </c>
      <c r="P109" s="77" t="s">
        <v>150</v>
      </c>
      <c r="Q109" s="9"/>
      <c r="R109" s="9"/>
      <c r="S109" s="9"/>
      <c r="T109" s="9"/>
    </row>
    <row r="110" spans="1:20" x14ac:dyDescent="0.25">
      <c r="A110" s="15"/>
      <c r="B110" s="49" t="s">
        <v>142</v>
      </c>
      <c r="C110" s="50">
        <v>15</v>
      </c>
      <c r="D110" s="50">
        <v>15</v>
      </c>
      <c r="E110" s="50">
        <v>15</v>
      </c>
      <c r="F110" s="51">
        <v>15</v>
      </c>
      <c r="G110" s="52">
        <v>15</v>
      </c>
      <c r="H110" s="50">
        <v>10</v>
      </c>
      <c r="I110" s="50">
        <v>35</v>
      </c>
      <c r="J110" s="50">
        <v>40</v>
      </c>
      <c r="K110" s="53">
        <v>75</v>
      </c>
      <c r="L110" s="54">
        <v>75</v>
      </c>
      <c r="M110" s="55">
        <v>100</v>
      </c>
      <c r="N110" s="55" t="s">
        <v>151</v>
      </c>
      <c r="O110" s="54" t="s">
        <v>152</v>
      </c>
      <c r="P110" s="78" t="s">
        <v>153</v>
      </c>
    </row>
    <row r="111" spans="1:20" x14ac:dyDescent="0.25">
      <c r="A111" s="1" t="s">
        <v>57</v>
      </c>
      <c r="B111" s="29" t="s">
        <v>58</v>
      </c>
      <c r="C111" s="28">
        <v>8.6666666666666661</v>
      </c>
      <c r="D111" s="28">
        <v>13.666666666666666</v>
      </c>
      <c r="E111" s="28">
        <v>11.666666666666666</v>
      </c>
      <c r="F111" s="28">
        <f>(((SUM(Third_Semester_Data_Structure[[#This Row],[Quiz 1]:[Quiz 3]]))/SUM($C$63:$E$63))*$F$63)</f>
        <v>11.333333333333332</v>
      </c>
      <c r="G111" s="27">
        <f>ROUND(Third_Semester_Data_Structure[[#This Row],[Quiz Average]],0)</f>
        <v>11</v>
      </c>
      <c r="H111" s="31">
        <v>4</v>
      </c>
      <c r="I111" s="28">
        <v>34</v>
      </c>
      <c r="J111" s="28">
        <v>33</v>
      </c>
      <c r="K111" s="28">
        <f>SUM(Third_Semester_Data_Structure[[#This Row],[Assignment]:[Final]])</f>
        <v>67</v>
      </c>
      <c r="L111" s="42">
        <f>ROUND(Third_Semester_Data_Structure[[#This Row],[Ass &amp; Final]],0)</f>
        <v>67</v>
      </c>
      <c r="M111" s="42">
        <f>SUM(G111,H111,L111)</f>
        <v>82</v>
      </c>
      <c r="N111" s="46" t="str">
        <f>IF(M111&gt;79,"A+",IF(M111&gt;74,"A",IF(M111&gt;69,"A-",IF(M111&gt;64,"B+",IF(M111&gt;59,"B",IF(M111&gt;54,"B-",IF(M111&gt;49,"C+",IF(M111&gt;44,"C",IF(M111&gt;39,"D",IF(M111&gt;0,"F","N/A"))))))))))</f>
        <v>A+</v>
      </c>
      <c r="O111" s="44" t="str">
        <f>IF(M111&gt;79,"4.00",IF(M111&gt;74,"3.75",IF(M111&gt;69,"3.50",IF(M111&gt;64,"3.25",IF(M111&gt;59,"3.00",IF(M111&gt;54,"2.75",IF(M111&gt;49,"2.50",IF(M111&gt;44,"2.25",IF(M111&gt;39,"2.00",IF(M111&gt;0,"0.00","N/A"))))))))))</f>
        <v>4.00</v>
      </c>
      <c r="P111" s="79" t="str">
        <f>IF(M111&gt;79,"Outstanding",IF(M111&gt;74,"Excellent",IF(M111&gt;69,"Very Good",IF(M111&gt;64,"Good",IF(M111&gt;59,"Satisfactory",IF(M111&gt;54,"Above Average",IF(M111&gt;49,"Average",IF(M111&gt;44,"Bellow Average",IF(M111&gt;39,"Pass",IF(M111&gt;0,"Fail","N/A"))))))))))</f>
        <v>Outstanding</v>
      </c>
    </row>
    <row r="112" spans="1:20" x14ac:dyDescent="0.25">
      <c r="A112" s="1" t="s">
        <v>56</v>
      </c>
      <c r="B112" s="29" t="s">
        <v>59</v>
      </c>
      <c r="C112" s="28">
        <v>4.666666666666667</v>
      </c>
      <c r="D112" s="28">
        <v>4</v>
      </c>
      <c r="E112" s="28">
        <v>10.333333333333334</v>
      </c>
      <c r="F112" s="28">
        <f>(((SUM(Third_Semester_Data_Structure[[#This Row],[Quiz 1]:[Quiz 3]]))/SUM($C$63:$E$63))*$F$63)</f>
        <v>6.333333333333333</v>
      </c>
      <c r="G112" s="27">
        <f>ROUND(Third_Semester_Data_Structure[[#This Row],[Quiz Average]],0)</f>
        <v>6</v>
      </c>
      <c r="H112" s="31">
        <v>10</v>
      </c>
      <c r="I112" s="28">
        <v>28</v>
      </c>
      <c r="J112" s="28">
        <v>20</v>
      </c>
      <c r="K112" s="28">
        <f>SUM(Third_Semester_Data_Structure[[#This Row],[Assignment]:[Final]])</f>
        <v>48</v>
      </c>
      <c r="L112" s="42">
        <f>ROUND(Third_Semester_Data_Structure[[#This Row],[Ass &amp; Final]],0)</f>
        <v>48</v>
      </c>
      <c r="M112" s="42">
        <f t="shared" ref="M112:M138" si="12">SUM(G112,H112,L112)</f>
        <v>64</v>
      </c>
      <c r="N112" s="46" t="str">
        <f t="shared" ref="N112:N138" si="13">IF(M112&gt;79,"A+",IF(M112&gt;74,"A",IF(M112&gt;69,"A-",IF(M112&gt;64,"B+",IF(M112&gt;59,"B",IF(M112&gt;54,"B-",IF(M112&gt;49,"C+",IF(M112&gt;44,"C",IF(M112&gt;39,"D",IF(M112&gt;0,"F","N/A"))))))))))</f>
        <v>B</v>
      </c>
      <c r="O112" s="44" t="str">
        <f t="shared" ref="O112:O138" si="14">IF(M112&gt;79,"4.00",IF(M112&gt;74,"3.75",IF(M112&gt;69,"3.50",IF(M112&gt;64,"3.25",IF(M112&gt;59,"3.00",IF(M112&gt;54,"2.75",IF(M112&gt;49,"2.50",IF(M112&gt;44,"2.25",IF(M112&gt;39,"2.00",IF(M112&gt;0,"0.00","N/A"))))))))))</f>
        <v>3.00</v>
      </c>
      <c r="P112" s="79" t="str">
        <f t="shared" ref="P112:P138" si="15">IF(M112&gt;79,"Outstanding",IF(M112&gt;74,"Excellent",IF(M112&gt;69,"Very Good",IF(M112&gt;64,"Good",IF(M112&gt;59,"Satisfactory",IF(M112&gt;54,"Above Average",IF(M112&gt;49,"Average",IF(M112&gt;44,"Bellow Average",IF(M112&gt;39,"Pass",IF(M112&gt;0,"Fail","N/A"))))))))))</f>
        <v>Satisfactory</v>
      </c>
    </row>
    <row r="113" spans="1:16" x14ac:dyDescent="0.25">
      <c r="A113" s="1" t="s">
        <v>1</v>
      </c>
      <c r="B113" s="29" t="s">
        <v>27</v>
      </c>
      <c r="C113" s="28">
        <v>12</v>
      </c>
      <c r="D113" s="28">
        <v>12.333333333333334</v>
      </c>
      <c r="E113" s="28">
        <v>3</v>
      </c>
      <c r="F113" s="28">
        <f>(((SUM(Third_Semester_Data_Structure[[#This Row],[Quiz 1]:[Quiz 3]]))/SUM($C$63:$E$63))*$F$63)</f>
        <v>9.1111111111111125</v>
      </c>
      <c r="G113" s="27">
        <f>ROUND(Third_Semester_Data_Structure[[#This Row],[Quiz Average]],0)</f>
        <v>9</v>
      </c>
      <c r="H113" s="31">
        <v>10</v>
      </c>
      <c r="I113" s="28">
        <v>2</v>
      </c>
      <c r="J113" s="28">
        <v>27.5</v>
      </c>
      <c r="K113" s="28">
        <f>SUM(Third_Semester_Data_Structure[[#This Row],[Assignment]:[Final]])</f>
        <v>29.5</v>
      </c>
      <c r="L113" s="42">
        <f>ROUND(Third_Semester_Data_Structure[[#This Row],[Ass &amp; Final]],0)</f>
        <v>30</v>
      </c>
      <c r="M113" s="42">
        <f t="shared" si="12"/>
        <v>49</v>
      </c>
      <c r="N113" s="46" t="str">
        <f t="shared" si="13"/>
        <v>C</v>
      </c>
      <c r="O113" s="44" t="str">
        <f t="shared" si="14"/>
        <v>2.25</v>
      </c>
      <c r="P113" s="34" t="str">
        <f t="shared" si="15"/>
        <v>Bellow Average</v>
      </c>
    </row>
    <row r="114" spans="1:16" x14ac:dyDescent="0.25">
      <c r="A114" s="1" t="s">
        <v>2</v>
      </c>
      <c r="B114" s="29" t="s">
        <v>28</v>
      </c>
      <c r="C114" s="28">
        <v>7.333333333333333</v>
      </c>
      <c r="D114" s="28">
        <v>6.333333333333333</v>
      </c>
      <c r="E114" s="28">
        <v>1</v>
      </c>
      <c r="F114" s="28">
        <f>(((SUM(Third_Semester_Data_Structure[[#This Row],[Quiz 1]:[Quiz 3]]))/SUM($C$63:$E$63))*$F$63)</f>
        <v>4.8888888888888884</v>
      </c>
      <c r="G114" s="27">
        <f>ROUND(Third_Semester_Data_Structure[[#This Row],[Quiz Average]],0)</f>
        <v>5</v>
      </c>
      <c r="H114" s="31">
        <v>6</v>
      </c>
      <c r="I114" s="28">
        <v>5</v>
      </c>
      <c r="J114" s="28">
        <v>18.5</v>
      </c>
      <c r="K114" s="28">
        <f>SUM(Third_Semester_Data_Structure[[#This Row],[Assignment]:[Final]])</f>
        <v>23.5</v>
      </c>
      <c r="L114" s="42">
        <f>ROUND(Third_Semester_Data_Structure[[#This Row],[Ass &amp; Final]],0)</f>
        <v>24</v>
      </c>
      <c r="M114" s="42">
        <f t="shared" si="12"/>
        <v>35</v>
      </c>
      <c r="N114" s="46" t="str">
        <f t="shared" si="13"/>
        <v>F</v>
      </c>
      <c r="O114" s="44" t="str">
        <f t="shared" si="14"/>
        <v>0.00</v>
      </c>
      <c r="P114" s="34" t="str">
        <f t="shared" si="15"/>
        <v>Fail</v>
      </c>
    </row>
    <row r="115" spans="1:16" x14ac:dyDescent="0.25">
      <c r="A115" s="1" t="s">
        <v>3</v>
      </c>
      <c r="B115" s="29" t="s">
        <v>29</v>
      </c>
      <c r="C115" s="28">
        <v>8</v>
      </c>
      <c r="D115" s="28">
        <v>6.333333333333333</v>
      </c>
      <c r="E115" s="28">
        <v>5.333333333333333</v>
      </c>
      <c r="F115" s="28">
        <f>(((SUM(Third_Semester_Data_Structure[[#This Row],[Quiz 1]:[Quiz 3]]))/SUM($C$63:$E$63))*$F$63)</f>
        <v>6.5555555555555554</v>
      </c>
      <c r="G115" s="27">
        <f>ROUND(Third_Semester_Data_Structure[[#This Row],[Quiz Average]],0)</f>
        <v>7</v>
      </c>
      <c r="H115" s="31">
        <v>3</v>
      </c>
      <c r="I115" s="28">
        <v>31</v>
      </c>
      <c r="J115" s="28">
        <v>29</v>
      </c>
      <c r="K115" s="28">
        <f>SUM(Third_Semester_Data_Structure[[#This Row],[Assignment]:[Final]])</f>
        <v>60</v>
      </c>
      <c r="L115" s="42">
        <f>ROUND(Third_Semester_Data_Structure[[#This Row],[Ass &amp; Final]],0)</f>
        <v>60</v>
      </c>
      <c r="M115" s="42">
        <f t="shared" si="12"/>
        <v>70</v>
      </c>
      <c r="N115" s="46" t="str">
        <f t="shared" si="13"/>
        <v>A-</v>
      </c>
      <c r="O115" s="44" t="str">
        <f t="shared" si="14"/>
        <v>3.50</v>
      </c>
      <c r="P115" s="34" t="str">
        <f t="shared" si="15"/>
        <v>Very Good</v>
      </c>
    </row>
    <row r="116" spans="1:16" x14ac:dyDescent="0.25">
      <c r="A116" s="1" t="s">
        <v>4</v>
      </c>
      <c r="B116" s="29" t="s">
        <v>30</v>
      </c>
      <c r="C116" s="28">
        <v>11.333333333333334</v>
      </c>
      <c r="D116" s="28">
        <v>7</v>
      </c>
      <c r="E116" s="28">
        <v>14</v>
      </c>
      <c r="F116" s="28">
        <f>(((SUM(Third_Semester_Data_Structure[[#This Row],[Quiz 1]:[Quiz 3]]))/SUM($C$63:$E$63))*$F$63)</f>
        <v>10.777777777777779</v>
      </c>
      <c r="G116" s="27">
        <f>ROUND(Third_Semester_Data_Structure[[#This Row],[Quiz Average]],0)</f>
        <v>11</v>
      </c>
      <c r="H116" s="31">
        <v>10</v>
      </c>
      <c r="I116" s="28">
        <v>15</v>
      </c>
      <c r="J116" s="28">
        <v>32.5</v>
      </c>
      <c r="K116" s="28">
        <f>SUM(Third_Semester_Data_Structure[[#This Row],[Assignment]:[Final]])</f>
        <v>47.5</v>
      </c>
      <c r="L116" s="42">
        <f>ROUND(Third_Semester_Data_Structure[[#This Row],[Ass &amp; Final]],0)</f>
        <v>48</v>
      </c>
      <c r="M116" s="42">
        <f t="shared" si="12"/>
        <v>69</v>
      </c>
      <c r="N116" s="46" t="str">
        <f t="shared" si="13"/>
        <v>B+</v>
      </c>
      <c r="O116" s="44" t="str">
        <f t="shared" si="14"/>
        <v>3.25</v>
      </c>
      <c r="P116" s="34" t="str">
        <f t="shared" si="15"/>
        <v>Good</v>
      </c>
    </row>
    <row r="117" spans="1:16" s="21" customFormat="1" x14ac:dyDescent="0.25">
      <c r="A117" s="6" t="s">
        <v>5</v>
      </c>
      <c r="B117" s="225" t="s">
        <v>31</v>
      </c>
      <c r="C117" s="221"/>
      <c r="D117" s="221"/>
      <c r="E117" s="221"/>
      <c r="F117" s="221"/>
      <c r="G117" s="226"/>
      <c r="H117" s="220"/>
      <c r="I117" s="221"/>
      <c r="J117" s="221"/>
      <c r="K117" s="221"/>
      <c r="L117" s="222"/>
      <c r="M117" s="222"/>
      <c r="N117" s="223"/>
      <c r="O117" s="224"/>
      <c r="P117" s="219"/>
    </row>
    <row r="118" spans="1:16" s="21" customFormat="1" x14ac:dyDescent="0.25">
      <c r="A118" s="1" t="s">
        <v>6</v>
      </c>
      <c r="B118" s="29" t="s">
        <v>32</v>
      </c>
      <c r="C118" s="28">
        <v>7.333333333333333</v>
      </c>
      <c r="D118" s="28">
        <v>5.333333333333333</v>
      </c>
      <c r="E118" s="28">
        <v>10.333333333333334</v>
      </c>
      <c r="F118" s="28">
        <f>(((SUM(Third_Semester_Data_Structure[[#This Row],[Quiz 1]:[Quiz 3]]))/SUM($C$63:$E$63))*$F$63)</f>
        <v>7.6666666666666661</v>
      </c>
      <c r="G118" s="27">
        <f>ROUND(Third_Semester_Data_Structure[[#This Row],[Quiz Average]],0)</f>
        <v>8</v>
      </c>
      <c r="H118" s="31">
        <v>3</v>
      </c>
      <c r="I118" s="28">
        <v>9.5</v>
      </c>
      <c r="J118" s="28">
        <v>14.5</v>
      </c>
      <c r="K118" s="28">
        <f>SUM(Third_Semester_Data_Structure[[#This Row],[Assignment]:[Final]])</f>
        <v>24</v>
      </c>
      <c r="L118" s="42">
        <f>ROUND(Third_Semester_Data_Structure[[#This Row],[Ass &amp; Final]],0)</f>
        <v>24</v>
      </c>
      <c r="M118" s="42">
        <f t="shared" si="12"/>
        <v>35</v>
      </c>
      <c r="N118" s="46" t="str">
        <f t="shared" si="13"/>
        <v>F</v>
      </c>
      <c r="O118" s="44" t="str">
        <f t="shared" si="14"/>
        <v>0.00</v>
      </c>
      <c r="P118" s="34" t="str">
        <f t="shared" si="15"/>
        <v>Fail</v>
      </c>
    </row>
    <row r="119" spans="1:16" s="21" customFormat="1" x14ac:dyDescent="0.25">
      <c r="A119" s="1" t="s">
        <v>7</v>
      </c>
      <c r="B119" s="29" t="s">
        <v>33</v>
      </c>
      <c r="C119" s="28">
        <v>9</v>
      </c>
      <c r="D119" s="28">
        <v>8.6666666666666661</v>
      </c>
      <c r="E119" s="28">
        <v>15</v>
      </c>
      <c r="F119" s="28">
        <f>(((SUM(Third_Semester_Data_Structure[[#This Row],[Quiz 1]:[Quiz 3]]))/SUM($C$63:$E$63))*$F$63)</f>
        <v>10.888888888888888</v>
      </c>
      <c r="G119" s="27">
        <f>ROUND(Third_Semester_Data_Structure[[#This Row],[Quiz Average]],0)</f>
        <v>11</v>
      </c>
      <c r="H119" s="31">
        <v>10</v>
      </c>
      <c r="I119" s="28">
        <v>16.5</v>
      </c>
      <c r="J119" s="28">
        <v>10</v>
      </c>
      <c r="K119" s="28">
        <f>SUM(Third_Semester_Data_Structure[[#This Row],[Assignment]:[Final]])</f>
        <v>26.5</v>
      </c>
      <c r="L119" s="42">
        <f>ROUND(Third_Semester_Data_Structure[[#This Row],[Ass &amp; Final]],0)</f>
        <v>27</v>
      </c>
      <c r="M119" s="42">
        <f t="shared" si="12"/>
        <v>48</v>
      </c>
      <c r="N119" s="46" t="str">
        <f t="shared" si="13"/>
        <v>C</v>
      </c>
      <c r="O119" s="44" t="str">
        <f t="shared" si="14"/>
        <v>2.25</v>
      </c>
      <c r="P119" s="34" t="str">
        <f t="shared" si="15"/>
        <v>Bellow Average</v>
      </c>
    </row>
    <row r="120" spans="1:16" s="21" customFormat="1" x14ac:dyDescent="0.25">
      <c r="A120" s="1" t="s">
        <v>8</v>
      </c>
      <c r="B120" s="29" t="s">
        <v>34</v>
      </c>
      <c r="C120" s="28">
        <v>5.666666666666667</v>
      </c>
      <c r="D120" s="28">
        <v>5.333333333333333</v>
      </c>
      <c r="E120" s="28">
        <v>8.3333333333333339</v>
      </c>
      <c r="F120" s="28">
        <f>(((SUM(Third_Semester_Data_Structure[[#This Row],[Quiz 1]:[Quiz 3]]))/SUM($C$63:$E$63))*$F$63)</f>
        <v>6.4444444444444455</v>
      </c>
      <c r="G120" s="27">
        <f>ROUND(Third_Semester_Data_Structure[[#This Row],[Quiz Average]],0)</f>
        <v>6</v>
      </c>
      <c r="H120" s="31">
        <v>2</v>
      </c>
      <c r="I120" s="28">
        <v>14.5</v>
      </c>
      <c r="J120" s="28">
        <v>2.5</v>
      </c>
      <c r="K120" s="28">
        <f>SUM(Third_Semester_Data_Structure[[#This Row],[Assignment]:[Final]])</f>
        <v>17</v>
      </c>
      <c r="L120" s="42">
        <f>ROUND(Third_Semester_Data_Structure[[#This Row],[Ass &amp; Final]],0)</f>
        <v>17</v>
      </c>
      <c r="M120" s="42">
        <f t="shared" si="12"/>
        <v>25</v>
      </c>
      <c r="N120" s="46" t="str">
        <f t="shared" si="13"/>
        <v>F</v>
      </c>
      <c r="O120" s="44" t="str">
        <f t="shared" si="14"/>
        <v>0.00</v>
      </c>
      <c r="P120" s="34" t="str">
        <f t="shared" si="15"/>
        <v>Fail</v>
      </c>
    </row>
    <row r="121" spans="1:16" s="21" customFormat="1" x14ac:dyDescent="0.25">
      <c r="A121" s="1" t="s">
        <v>9</v>
      </c>
      <c r="B121" s="29" t="s">
        <v>35</v>
      </c>
      <c r="C121" s="28">
        <v>15</v>
      </c>
      <c r="D121" s="28">
        <v>2.6666666666666665</v>
      </c>
      <c r="E121" s="28">
        <v>1</v>
      </c>
      <c r="F121" s="28">
        <f>(((SUM(Third_Semester_Data_Structure[[#This Row],[Quiz 1]:[Quiz 3]]))/SUM($C$63:$E$63))*$F$63)</f>
        <v>6.2222222222222232</v>
      </c>
      <c r="G121" s="27">
        <f>ROUND(Third_Semester_Data_Structure[[#This Row],[Quiz Average]],0)</f>
        <v>6</v>
      </c>
      <c r="H121" s="31">
        <v>3</v>
      </c>
      <c r="I121" s="28">
        <v>18</v>
      </c>
      <c r="J121" s="28">
        <v>35.5</v>
      </c>
      <c r="K121" s="28">
        <f>SUM(Third_Semester_Data_Structure[[#This Row],[Assignment]:[Final]])</f>
        <v>53.5</v>
      </c>
      <c r="L121" s="42">
        <f>ROUND(Third_Semester_Data_Structure[[#This Row],[Ass &amp; Final]],0)</f>
        <v>54</v>
      </c>
      <c r="M121" s="42">
        <f t="shared" si="12"/>
        <v>63</v>
      </c>
      <c r="N121" s="46" t="str">
        <f t="shared" si="13"/>
        <v>B</v>
      </c>
      <c r="O121" s="44" t="str">
        <f t="shared" si="14"/>
        <v>3.00</v>
      </c>
      <c r="P121" s="34" t="str">
        <f t="shared" si="15"/>
        <v>Satisfactory</v>
      </c>
    </row>
    <row r="122" spans="1:16" s="21" customFormat="1" x14ac:dyDescent="0.25">
      <c r="A122" s="1" t="s">
        <v>10</v>
      </c>
      <c r="B122" s="29" t="s">
        <v>36</v>
      </c>
      <c r="C122" s="28">
        <v>9</v>
      </c>
      <c r="D122" s="28">
        <v>9</v>
      </c>
      <c r="E122" s="28">
        <v>5.666666666666667</v>
      </c>
      <c r="F122" s="28">
        <f>(((SUM(Third_Semester_Data_Structure[[#This Row],[Quiz 1]:[Quiz 3]]))/SUM($C$63:$E$63))*$F$63)</f>
        <v>7.8888888888888884</v>
      </c>
      <c r="G122" s="27">
        <f>ROUND(Third_Semester_Data_Structure[[#This Row],[Quiz Average]],0)</f>
        <v>8</v>
      </c>
      <c r="H122" s="31">
        <v>7</v>
      </c>
      <c r="I122" s="28">
        <v>29.5</v>
      </c>
      <c r="J122" s="28">
        <v>7</v>
      </c>
      <c r="K122" s="28">
        <f>SUM(Third_Semester_Data_Structure[[#This Row],[Assignment]:[Final]])</f>
        <v>36.5</v>
      </c>
      <c r="L122" s="42">
        <f>ROUND(Third_Semester_Data_Structure[[#This Row],[Ass &amp; Final]],0)</f>
        <v>37</v>
      </c>
      <c r="M122" s="42">
        <f t="shared" si="12"/>
        <v>52</v>
      </c>
      <c r="N122" s="46" t="str">
        <f t="shared" si="13"/>
        <v>C+</v>
      </c>
      <c r="O122" s="44" t="str">
        <f t="shared" si="14"/>
        <v>2.50</v>
      </c>
      <c r="P122" s="34" t="str">
        <f t="shared" si="15"/>
        <v>Average</v>
      </c>
    </row>
    <row r="123" spans="1:16" s="21" customFormat="1" x14ac:dyDescent="0.25">
      <c r="A123" s="6" t="s">
        <v>11</v>
      </c>
      <c r="B123" s="225" t="s">
        <v>31</v>
      </c>
      <c r="C123" s="221"/>
      <c r="D123" s="221"/>
      <c r="E123" s="221"/>
      <c r="F123" s="221"/>
      <c r="G123" s="226"/>
      <c r="H123" s="220"/>
      <c r="I123" s="221"/>
      <c r="J123" s="221"/>
      <c r="K123" s="221"/>
      <c r="L123" s="222"/>
      <c r="M123" s="222"/>
      <c r="N123" s="223"/>
      <c r="O123" s="224"/>
      <c r="P123" s="219"/>
    </row>
    <row r="124" spans="1:16" s="21" customFormat="1" x14ac:dyDescent="0.25">
      <c r="A124" s="1" t="s">
        <v>12</v>
      </c>
      <c r="B124" s="29" t="s">
        <v>37</v>
      </c>
      <c r="C124" s="28">
        <v>13</v>
      </c>
      <c r="D124" s="28">
        <v>6.333333333333333</v>
      </c>
      <c r="E124" s="28">
        <v>7</v>
      </c>
      <c r="F124" s="28">
        <f>(((SUM(Third_Semester_Data_Structure[[#This Row],[Quiz 1]:[Quiz 3]]))/SUM($C$63:$E$63))*$F$63)</f>
        <v>8.7777777777777768</v>
      </c>
      <c r="G124" s="27">
        <f>ROUND(Third_Semester_Data_Structure[[#This Row],[Quiz Average]],0)</f>
        <v>9</v>
      </c>
      <c r="H124" s="31">
        <v>4</v>
      </c>
      <c r="I124" s="28">
        <v>33</v>
      </c>
      <c r="J124" s="28">
        <v>36</v>
      </c>
      <c r="K124" s="28">
        <f>SUM(Third_Semester_Data_Structure[[#This Row],[Assignment]:[Final]])</f>
        <v>69</v>
      </c>
      <c r="L124" s="42">
        <f>ROUND(Third_Semester_Data_Structure[[#This Row],[Ass &amp; Final]],0)</f>
        <v>69</v>
      </c>
      <c r="M124" s="42">
        <f t="shared" si="12"/>
        <v>82</v>
      </c>
      <c r="N124" s="46" t="str">
        <f t="shared" si="13"/>
        <v>A+</v>
      </c>
      <c r="O124" s="44" t="str">
        <f t="shared" si="14"/>
        <v>4.00</v>
      </c>
      <c r="P124" s="34" t="str">
        <f t="shared" si="15"/>
        <v>Outstanding</v>
      </c>
    </row>
    <row r="125" spans="1:16" s="21" customFormat="1" x14ac:dyDescent="0.25">
      <c r="A125" s="1" t="s">
        <v>13</v>
      </c>
      <c r="B125" s="29" t="s">
        <v>38</v>
      </c>
      <c r="C125" s="28">
        <v>9.6666666666666661</v>
      </c>
      <c r="D125" s="28">
        <v>14.666666666666666</v>
      </c>
      <c r="E125" s="28">
        <v>1.6666666666666667</v>
      </c>
      <c r="F125" s="28">
        <f>(((SUM(Third_Semester_Data_Structure[[#This Row],[Quiz 1]:[Quiz 3]]))/SUM($C$63:$E$63))*$F$63)</f>
        <v>8.6666666666666661</v>
      </c>
      <c r="G125" s="27">
        <f>ROUND(Third_Semester_Data_Structure[[#This Row],[Quiz Average]],0)</f>
        <v>9</v>
      </c>
      <c r="H125" s="31">
        <v>10</v>
      </c>
      <c r="I125" s="28">
        <v>22</v>
      </c>
      <c r="J125" s="28">
        <v>24</v>
      </c>
      <c r="K125" s="28">
        <f>SUM(Third_Semester_Data_Structure[[#This Row],[Assignment]:[Final]])</f>
        <v>46</v>
      </c>
      <c r="L125" s="42">
        <f>ROUND(Third_Semester_Data_Structure[[#This Row],[Ass &amp; Final]],0)</f>
        <v>46</v>
      </c>
      <c r="M125" s="42">
        <f t="shared" si="12"/>
        <v>65</v>
      </c>
      <c r="N125" s="46" t="str">
        <f t="shared" si="13"/>
        <v>B+</v>
      </c>
      <c r="O125" s="44" t="str">
        <f t="shared" si="14"/>
        <v>3.25</v>
      </c>
      <c r="P125" s="34" t="str">
        <f t="shared" si="15"/>
        <v>Good</v>
      </c>
    </row>
    <row r="126" spans="1:16" s="21" customFormat="1" x14ac:dyDescent="0.25">
      <c r="A126" s="1" t="s">
        <v>14</v>
      </c>
      <c r="B126" s="29" t="s">
        <v>39</v>
      </c>
      <c r="C126" s="28">
        <v>11</v>
      </c>
      <c r="D126" s="28">
        <v>7</v>
      </c>
      <c r="E126" s="28">
        <v>1.3333333333333333</v>
      </c>
      <c r="F126" s="28">
        <f>(((SUM(Third_Semester_Data_Structure[[#This Row],[Quiz 1]:[Quiz 3]]))/SUM($C$63:$E$63))*$F$63)</f>
        <v>6.4444444444444438</v>
      </c>
      <c r="G126" s="27">
        <f>ROUND(Third_Semester_Data_Structure[[#This Row],[Quiz Average]],0)</f>
        <v>6</v>
      </c>
      <c r="H126" s="31">
        <v>4</v>
      </c>
      <c r="I126" s="28">
        <v>16</v>
      </c>
      <c r="J126" s="28">
        <v>3.5</v>
      </c>
      <c r="K126" s="28">
        <f>SUM(Third_Semester_Data_Structure[[#This Row],[Assignment]:[Final]])</f>
        <v>19.5</v>
      </c>
      <c r="L126" s="42">
        <f>ROUND(Third_Semester_Data_Structure[[#This Row],[Ass &amp; Final]],0)</f>
        <v>20</v>
      </c>
      <c r="M126" s="42">
        <f t="shared" si="12"/>
        <v>30</v>
      </c>
      <c r="N126" s="46" t="str">
        <f t="shared" si="13"/>
        <v>F</v>
      </c>
      <c r="O126" s="44" t="str">
        <f t="shared" si="14"/>
        <v>0.00</v>
      </c>
      <c r="P126" s="34" t="str">
        <f t="shared" si="15"/>
        <v>Fail</v>
      </c>
    </row>
    <row r="127" spans="1:16" s="21" customFormat="1" x14ac:dyDescent="0.25">
      <c r="A127" s="1" t="s">
        <v>15</v>
      </c>
      <c r="B127" s="29" t="s">
        <v>40</v>
      </c>
      <c r="C127" s="28">
        <v>5</v>
      </c>
      <c r="D127" s="28">
        <v>3.6666666666666665</v>
      </c>
      <c r="E127" s="28">
        <v>5.333333333333333</v>
      </c>
      <c r="F127" s="28">
        <f>(((SUM(Third_Semester_Data_Structure[[#This Row],[Quiz 1]:[Quiz 3]]))/SUM($C$63:$E$63))*$F$63)</f>
        <v>4.666666666666667</v>
      </c>
      <c r="G127" s="27">
        <f>ROUND(Third_Semester_Data_Structure[[#This Row],[Quiz Average]],0)</f>
        <v>5</v>
      </c>
      <c r="H127" s="31">
        <v>3</v>
      </c>
      <c r="I127" s="28">
        <v>11.5</v>
      </c>
      <c r="J127" s="28">
        <v>32.5</v>
      </c>
      <c r="K127" s="28">
        <f>SUM(Third_Semester_Data_Structure[[#This Row],[Assignment]:[Final]])</f>
        <v>44</v>
      </c>
      <c r="L127" s="42">
        <f>ROUND(Third_Semester_Data_Structure[[#This Row],[Ass &amp; Final]],0)</f>
        <v>44</v>
      </c>
      <c r="M127" s="42">
        <f t="shared" si="12"/>
        <v>52</v>
      </c>
      <c r="N127" s="46" t="str">
        <f t="shared" si="13"/>
        <v>C+</v>
      </c>
      <c r="O127" s="44" t="str">
        <f t="shared" si="14"/>
        <v>2.50</v>
      </c>
      <c r="P127" s="34" t="str">
        <f t="shared" si="15"/>
        <v>Average</v>
      </c>
    </row>
    <row r="128" spans="1:16" s="21" customFormat="1" x14ac:dyDescent="0.25">
      <c r="A128" s="6" t="s">
        <v>16</v>
      </c>
      <c r="B128" s="225" t="s">
        <v>31</v>
      </c>
      <c r="C128" s="221"/>
      <c r="D128" s="221"/>
      <c r="E128" s="221"/>
      <c r="F128" s="221"/>
      <c r="G128" s="226"/>
      <c r="H128" s="220"/>
      <c r="I128" s="221"/>
      <c r="J128" s="221"/>
      <c r="K128" s="221"/>
      <c r="L128" s="222"/>
      <c r="M128" s="222"/>
      <c r="N128" s="223"/>
      <c r="O128" s="224"/>
      <c r="P128" s="219"/>
    </row>
    <row r="129" spans="1:20" x14ac:dyDescent="0.25">
      <c r="A129" s="1" t="s">
        <v>17</v>
      </c>
      <c r="B129" s="29" t="s">
        <v>41</v>
      </c>
      <c r="C129" s="28">
        <v>1.6666666666666667</v>
      </c>
      <c r="D129" s="28">
        <v>8.6666666666666661</v>
      </c>
      <c r="E129" s="28">
        <v>8.6666666666666661</v>
      </c>
      <c r="F129" s="28">
        <f>(((SUM(Third_Semester_Data_Structure[[#This Row],[Quiz 1]:[Quiz 3]]))/SUM($C$63:$E$63))*$F$63)</f>
        <v>6.333333333333333</v>
      </c>
      <c r="G129" s="27">
        <f>ROUND(Third_Semester_Data_Structure[[#This Row],[Quiz Average]],0)</f>
        <v>6</v>
      </c>
      <c r="H129" s="31">
        <v>6</v>
      </c>
      <c r="I129" s="28">
        <v>18.5</v>
      </c>
      <c r="J129" s="28">
        <v>35.5</v>
      </c>
      <c r="K129" s="28">
        <f>SUM(Third_Semester_Data_Structure[[#This Row],[Assignment]:[Final]])</f>
        <v>54</v>
      </c>
      <c r="L129" s="42">
        <f>ROUND(Third_Semester_Data_Structure[[#This Row],[Ass &amp; Final]],0)</f>
        <v>54</v>
      </c>
      <c r="M129" s="42">
        <f t="shared" si="12"/>
        <v>66</v>
      </c>
      <c r="N129" s="46" t="str">
        <f t="shared" si="13"/>
        <v>B+</v>
      </c>
      <c r="O129" s="44" t="str">
        <f t="shared" si="14"/>
        <v>3.25</v>
      </c>
      <c r="P129" s="34" t="str">
        <f t="shared" si="15"/>
        <v>Good</v>
      </c>
    </row>
    <row r="130" spans="1:20" x14ac:dyDescent="0.25">
      <c r="A130" s="1" t="s">
        <v>18</v>
      </c>
      <c r="B130" s="29" t="s">
        <v>42</v>
      </c>
      <c r="C130" s="28">
        <v>9.6666666666666661</v>
      </c>
      <c r="D130" s="28">
        <v>9</v>
      </c>
      <c r="E130" s="28">
        <v>3</v>
      </c>
      <c r="F130" s="28">
        <f>(((SUM(Third_Semester_Data_Structure[[#This Row],[Quiz 1]:[Quiz 3]]))/SUM($C$63:$E$63))*$F$63)</f>
        <v>7.2222222222222214</v>
      </c>
      <c r="G130" s="27">
        <f>ROUND(Third_Semester_Data_Structure[[#This Row],[Quiz Average]],0)</f>
        <v>7</v>
      </c>
      <c r="H130" s="31">
        <v>6</v>
      </c>
      <c r="I130" s="28">
        <v>26</v>
      </c>
      <c r="J130" s="28">
        <v>19.5</v>
      </c>
      <c r="K130" s="28">
        <f>SUM(Third_Semester_Data_Structure[[#This Row],[Assignment]:[Final]])</f>
        <v>45.5</v>
      </c>
      <c r="L130" s="42">
        <f>ROUND(Third_Semester_Data_Structure[[#This Row],[Ass &amp; Final]],0)</f>
        <v>46</v>
      </c>
      <c r="M130" s="42">
        <f t="shared" si="12"/>
        <v>59</v>
      </c>
      <c r="N130" s="46" t="str">
        <f t="shared" si="13"/>
        <v>B-</v>
      </c>
      <c r="O130" s="44" t="str">
        <f t="shared" si="14"/>
        <v>2.75</v>
      </c>
      <c r="P130" s="34" t="str">
        <f t="shared" si="15"/>
        <v>Above Average</v>
      </c>
    </row>
    <row r="131" spans="1:20" x14ac:dyDescent="0.25">
      <c r="A131" s="1" t="s">
        <v>19</v>
      </c>
      <c r="B131" s="29" t="s">
        <v>43</v>
      </c>
      <c r="C131" s="28">
        <v>10</v>
      </c>
      <c r="D131" s="28">
        <v>13.333333333333334</v>
      </c>
      <c r="E131" s="28">
        <v>6.666666666666667</v>
      </c>
      <c r="F131" s="28">
        <f>(((SUM(Third_Semester_Data_Structure[[#This Row],[Quiz 1]:[Quiz 3]]))/SUM($C$63:$E$63))*$F$63)</f>
        <v>10.000000000000002</v>
      </c>
      <c r="G131" s="27">
        <f>ROUND(Third_Semester_Data_Structure[[#This Row],[Quiz Average]],0)</f>
        <v>10</v>
      </c>
      <c r="H131" s="31">
        <v>8</v>
      </c>
      <c r="I131" s="28">
        <v>28.5</v>
      </c>
      <c r="J131" s="28">
        <v>29.5</v>
      </c>
      <c r="K131" s="28">
        <f>SUM(Third_Semester_Data_Structure[[#This Row],[Assignment]:[Final]])</f>
        <v>58</v>
      </c>
      <c r="L131" s="42">
        <f>ROUND(Third_Semester_Data_Structure[[#This Row],[Ass &amp; Final]],0)</f>
        <v>58</v>
      </c>
      <c r="M131" s="42">
        <f t="shared" si="12"/>
        <v>76</v>
      </c>
      <c r="N131" s="46" t="str">
        <f t="shared" si="13"/>
        <v>A</v>
      </c>
      <c r="O131" s="44" t="str">
        <f t="shared" si="14"/>
        <v>3.75</v>
      </c>
      <c r="P131" s="34" t="str">
        <f t="shared" si="15"/>
        <v>Excellent</v>
      </c>
    </row>
    <row r="132" spans="1:20" x14ac:dyDescent="0.25">
      <c r="A132" s="1" t="s">
        <v>23</v>
      </c>
      <c r="B132" s="29" t="s">
        <v>44</v>
      </c>
      <c r="C132" s="28">
        <v>7</v>
      </c>
      <c r="D132" s="28">
        <v>11</v>
      </c>
      <c r="E132" s="28">
        <v>11.666666666666666</v>
      </c>
      <c r="F132" s="28">
        <f>(((SUM(Third_Semester_Data_Structure[[#This Row],[Quiz 1]:[Quiz 3]]))/SUM($C$63:$E$63))*$F$63)</f>
        <v>9.8888888888888875</v>
      </c>
      <c r="G132" s="27">
        <f>ROUND(Third_Semester_Data_Structure[[#This Row],[Quiz Average]],0)</f>
        <v>10</v>
      </c>
      <c r="H132" s="31">
        <v>2</v>
      </c>
      <c r="I132" s="28">
        <v>18</v>
      </c>
      <c r="J132" s="28">
        <v>10</v>
      </c>
      <c r="K132" s="28">
        <f>SUM(Third_Semester_Data_Structure[[#This Row],[Assignment]:[Final]])</f>
        <v>28</v>
      </c>
      <c r="L132" s="42">
        <f>ROUND(Third_Semester_Data_Structure[[#This Row],[Ass &amp; Final]],0)</f>
        <v>28</v>
      </c>
      <c r="M132" s="42">
        <f t="shared" si="12"/>
        <v>40</v>
      </c>
      <c r="N132" s="46" t="str">
        <f t="shared" si="13"/>
        <v>D</v>
      </c>
      <c r="O132" s="44" t="str">
        <f t="shared" si="14"/>
        <v>2.00</v>
      </c>
      <c r="P132" s="34" t="str">
        <f t="shared" si="15"/>
        <v>Pass</v>
      </c>
    </row>
    <row r="133" spans="1:20" x14ac:dyDescent="0.25">
      <c r="A133" s="1" t="s">
        <v>24</v>
      </c>
      <c r="B133" s="29" t="s">
        <v>45</v>
      </c>
      <c r="C133" s="28">
        <v>15</v>
      </c>
      <c r="D133" s="28">
        <v>1.6666666666666667</v>
      </c>
      <c r="E133" s="28">
        <v>9</v>
      </c>
      <c r="F133" s="28">
        <f>(((SUM(Third_Semester_Data_Structure[[#This Row],[Quiz 1]:[Quiz 3]]))/SUM($C$63:$E$63))*$F$63)</f>
        <v>8.5555555555555571</v>
      </c>
      <c r="G133" s="27">
        <f>ROUND(Third_Semester_Data_Structure[[#This Row],[Quiz Average]],0)</f>
        <v>9</v>
      </c>
      <c r="H133" s="31">
        <v>6</v>
      </c>
      <c r="I133" s="28">
        <v>3</v>
      </c>
      <c r="J133" s="28">
        <v>32</v>
      </c>
      <c r="K133" s="28">
        <f>SUM(Third_Semester_Data_Structure[[#This Row],[Assignment]:[Final]])</f>
        <v>35</v>
      </c>
      <c r="L133" s="42">
        <f>ROUND(Third_Semester_Data_Structure[[#This Row],[Ass &amp; Final]],0)</f>
        <v>35</v>
      </c>
      <c r="M133" s="42">
        <f t="shared" si="12"/>
        <v>50</v>
      </c>
      <c r="N133" s="46" t="str">
        <f t="shared" si="13"/>
        <v>C+</v>
      </c>
      <c r="O133" s="44" t="str">
        <f t="shared" si="14"/>
        <v>2.50</v>
      </c>
      <c r="P133" s="34" t="str">
        <f t="shared" si="15"/>
        <v>Average</v>
      </c>
    </row>
    <row r="134" spans="1:20" x14ac:dyDescent="0.25">
      <c r="A134" s="1" t="s">
        <v>25</v>
      </c>
      <c r="B134" s="29" t="s">
        <v>46</v>
      </c>
      <c r="C134" s="28">
        <v>10.333333333333334</v>
      </c>
      <c r="D134" s="28">
        <v>10.666666666666666</v>
      </c>
      <c r="E134" s="28">
        <v>10</v>
      </c>
      <c r="F134" s="28">
        <f>(((SUM(Third_Semester_Data_Structure[[#This Row],[Quiz 1]:[Quiz 3]]))/SUM($C$63:$E$63))*$F$63)</f>
        <v>10.333333333333334</v>
      </c>
      <c r="G134" s="27">
        <f>ROUND(Third_Semester_Data_Structure[[#This Row],[Quiz Average]],0)</f>
        <v>10</v>
      </c>
      <c r="H134" s="31">
        <v>2</v>
      </c>
      <c r="I134" s="28">
        <v>19.5</v>
      </c>
      <c r="J134" s="28">
        <v>1.5</v>
      </c>
      <c r="K134" s="28">
        <f>SUM(Third_Semester_Data_Structure[[#This Row],[Assignment]:[Final]])</f>
        <v>21</v>
      </c>
      <c r="L134" s="42">
        <f>ROUND(Third_Semester_Data_Structure[[#This Row],[Ass &amp; Final]],0)</f>
        <v>21</v>
      </c>
      <c r="M134" s="42">
        <f t="shared" si="12"/>
        <v>33</v>
      </c>
      <c r="N134" s="46" t="str">
        <f t="shared" si="13"/>
        <v>F</v>
      </c>
      <c r="O134" s="44" t="str">
        <f t="shared" si="14"/>
        <v>0.00</v>
      </c>
      <c r="P134" s="34" t="str">
        <f t="shared" si="15"/>
        <v>Fail</v>
      </c>
    </row>
    <row r="135" spans="1:20" x14ac:dyDescent="0.25">
      <c r="A135" s="1" t="s">
        <v>26</v>
      </c>
      <c r="B135" s="29" t="s">
        <v>47</v>
      </c>
      <c r="C135" s="28">
        <v>2</v>
      </c>
      <c r="D135" s="28">
        <v>4.666666666666667</v>
      </c>
      <c r="E135" s="28">
        <v>3.3333333333333335</v>
      </c>
      <c r="F135" s="28">
        <f>(((SUM(Third_Semester_Data_Structure[[#This Row],[Quiz 1]:[Quiz 3]]))/SUM($C$63:$E$63))*$F$63)</f>
        <v>3.333333333333333</v>
      </c>
      <c r="G135" s="27">
        <f>ROUND(Third_Semester_Data_Structure[[#This Row],[Quiz Average]],0)</f>
        <v>3</v>
      </c>
      <c r="H135" s="31">
        <v>8</v>
      </c>
      <c r="I135" s="28">
        <v>11</v>
      </c>
      <c r="J135" s="28">
        <v>10.5</v>
      </c>
      <c r="K135" s="28">
        <f>SUM(Third_Semester_Data_Structure[[#This Row],[Assignment]:[Final]])</f>
        <v>21.5</v>
      </c>
      <c r="L135" s="42">
        <f>ROUND(Third_Semester_Data_Structure[[#This Row],[Ass &amp; Final]],0)</f>
        <v>22</v>
      </c>
      <c r="M135" s="42">
        <f t="shared" si="12"/>
        <v>33</v>
      </c>
      <c r="N135" s="46" t="str">
        <f t="shared" si="13"/>
        <v>F</v>
      </c>
      <c r="O135" s="44" t="str">
        <f t="shared" si="14"/>
        <v>0.00</v>
      </c>
      <c r="P135" s="34" t="str">
        <f t="shared" si="15"/>
        <v>Fail</v>
      </c>
    </row>
    <row r="136" spans="1:20" x14ac:dyDescent="0.25">
      <c r="A136" s="1" t="s">
        <v>50</v>
      </c>
      <c r="B136" s="29" t="s">
        <v>51</v>
      </c>
      <c r="C136" s="28">
        <v>2</v>
      </c>
      <c r="D136" s="28">
        <v>6.333333333333333</v>
      </c>
      <c r="E136" s="28">
        <v>14.333333333333334</v>
      </c>
      <c r="F136" s="28">
        <f>(((SUM(Third_Semester_Data_Structure[[#This Row],[Quiz 1]:[Quiz 3]]))/SUM($C$63:$E$63))*$F$63)</f>
        <v>7.5555555555555545</v>
      </c>
      <c r="G136" s="27">
        <f>ROUND(Third_Semester_Data_Structure[[#This Row],[Quiz Average]],0)</f>
        <v>8</v>
      </c>
      <c r="H136" s="31">
        <v>10</v>
      </c>
      <c r="I136" s="28">
        <v>24</v>
      </c>
      <c r="J136" s="28">
        <v>8</v>
      </c>
      <c r="K136" s="28">
        <f>SUM(Third_Semester_Data_Structure[[#This Row],[Assignment]:[Final]])</f>
        <v>32</v>
      </c>
      <c r="L136" s="42">
        <f>ROUND(Third_Semester_Data_Structure[[#This Row],[Ass &amp; Final]],0)</f>
        <v>32</v>
      </c>
      <c r="M136" s="42">
        <f>SUM(G136,H136,L136)</f>
        <v>50</v>
      </c>
      <c r="N136" s="46" t="str">
        <f t="shared" si="13"/>
        <v>C+</v>
      </c>
      <c r="O136" s="44" t="str">
        <f t="shared" si="14"/>
        <v>2.50</v>
      </c>
      <c r="P136" s="34" t="str">
        <f t="shared" si="15"/>
        <v>Average</v>
      </c>
    </row>
    <row r="137" spans="1:20" x14ac:dyDescent="0.25">
      <c r="A137" s="1" t="s">
        <v>53</v>
      </c>
      <c r="B137" s="29" t="s">
        <v>54</v>
      </c>
      <c r="C137" s="28">
        <v>2</v>
      </c>
      <c r="D137" s="28">
        <v>4.333333333333333</v>
      </c>
      <c r="E137" s="28">
        <v>5</v>
      </c>
      <c r="F137" s="28">
        <f>(((SUM(Third_Semester_Data_Structure[[#This Row],[Quiz 1]:[Quiz 3]]))/SUM($C$63:$E$63))*$F$63)</f>
        <v>3.7777777777777772</v>
      </c>
      <c r="G137" s="27">
        <f>ROUND(Third_Semester_Data_Structure[[#This Row],[Quiz Average]],0)</f>
        <v>4</v>
      </c>
      <c r="H137" s="31">
        <v>7</v>
      </c>
      <c r="I137" s="28">
        <v>22.5</v>
      </c>
      <c r="J137" s="28">
        <v>8.5</v>
      </c>
      <c r="K137" s="28">
        <f>SUM(Third_Semester_Data_Structure[[#This Row],[Assignment]:[Final]])</f>
        <v>31</v>
      </c>
      <c r="L137" s="42">
        <f>ROUND(Third_Semester_Data_Structure[[#This Row],[Ass &amp; Final]],0)</f>
        <v>31</v>
      </c>
      <c r="M137" s="42">
        <f t="shared" si="12"/>
        <v>42</v>
      </c>
      <c r="N137" s="46" t="str">
        <f t="shared" si="13"/>
        <v>D</v>
      </c>
      <c r="O137" s="44" t="str">
        <f t="shared" si="14"/>
        <v>2.00</v>
      </c>
      <c r="P137" s="34" t="str">
        <f t="shared" si="15"/>
        <v>Pass</v>
      </c>
    </row>
    <row r="138" spans="1:20" ht="15.75" thickBot="1" x14ac:dyDescent="0.3">
      <c r="A138" s="35" t="s">
        <v>60</v>
      </c>
      <c r="B138" s="36" t="s">
        <v>61</v>
      </c>
      <c r="C138" s="37">
        <v>12.333333333333334</v>
      </c>
      <c r="D138" s="37">
        <v>6.333333333333333</v>
      </c>
      <c r="E138" s="37">
        <v>6</v>
      </c>
      <c r="F138" s="37">
        <f>(((SUM(Third_Semester_Data_Structure[[#This Row],[Quiz 1]:[Quiz 3]]))/SUM($C$63:$E$63))*$F$63)</f>
        <v>8.2222222222222232</v>
      </c>
      <c r="G138" s="38">
        <f>ROUND(Third_Semester_Data_Structure[[#This Row],[Quiz Average]],0)</f>
        <v>8</v>
      </c>
      <c r="H138" s="39">
        <v>8</v>
      </c>
      <c r="I138" s="37">
        <v>15</v>
      </c>
      <c r="J138" s="37">
        <v>10.5</v>
      </c>
      <c r="K138" s="37">
        <f>SUM(Third_Semester_Data_Structure[[#This Row],[Assignment]:[Final]])</f>
        <v>25.5</v>
      </c>
      <c r="L138" s="43">
        <f>ROUND(Third_Semester_Data_Structure[[#This Row],[Ass &amp; Final]],0)</f>
        <v>26</v>
      </c>
      <c r="M138" s="76">
        <f t="shared" si="12"/>
        <v>42</v>
      </c>
      <c r="N138" s="47" t="str">
        <f t="shared" si="13"/>
        <v>D</v>
      </c>
      <c r="O138" s="45" t="str">
        <f t="shared" si="14"/>
        <v>2.00</v>
      </c>
      <c r="P138" s="41" t="str">
        <f t="shared" si="15"/>
        <v>Pass</v>
      </c>
    </row>
    <row r="139" spans="1:20" x14ac:dyDescent="0.25">
      <c r="A139" s="68"/>
      <c r="B139" s="68"/>
      <c r="C139" s="30"/>
      <c r="D139" s="30"/>
      <c r="E139" s="30"/>
      <c r="F139" s="30"/>
      <c r="G139" s="69"/>
      <c r="H139" s="71"/>
      <c r="I139" s="71"/>
      <c r="J139" s="71"/>
      <c r="K139" s="69"/>
      <c r="L139" s="69"/>
      <c r="M139" s="30"/>
      <c r="N139" s="30"/>
      <c r="O139" s="30"/>
      <c r="P139" s="70"/>
      <c r="Q139" s="70"/>
      <c r="R139" s="30"/>
      <c r="S139" s="30"/>
      <c r="T139" s="30"/>
    </row>
    <row r="140" spans="1:20" x14ac:dyDescent="0.25">
      <c r="A140" s="68"/>
      <c r="B140" s="68"/>
      <c r="C140" s="30"/>
      <c r="D140" s="30"/>
      <c r="E140" s="30"/>
      <c r="F140" s="30"/>
      <c r="G140" s="69"/>
      <c r="H140" s="71"/>
      <c r="I140" s="71"/>
      <c r="J140" s="71"/>
      <c r="K140" s="69"/>
      <c r="L140" s="69"/>
      <c r="M140" s="30"/>
      <c r="N140" s="30"/>
      <c r="O140" s="30"/>
      <c r="P140" s="70"/>
      <c r="Q140" s="70"/>
      <c r="R140" s="30"/>
      <c r="S140" s="30"/>
      <c r="T140" s="30"/>
    </row>
    <row r="141" spans="1:20" x14ac:dyDescent="0.25">
      <c r="A141" s="68"/>
      <c r="B141" s="68"/>
      <c r="C141" s="30"/>
      <c r="D141" s="30"/>
      <c r="E141" s="30"/>
      <c r="F141" s="30"/>
      <c r="G141" s="69"/>
      <c r="H141" s="71"/>
      <c r="I141" s="71"/>
      <c r="J141" s="71"/>
      <c r="K141" s="69"/>
      <c r="L141" s="69"/>
      <c r="M141" s="30"/>
      <c r="N141" s="30"/>
      <c r="O141" s="30"/>
      <c r="P141" s="70"/>
      <c r="Q141" s="70"/>
      <c r="R141" s="30"/>
      <c r="S141" s="30"/>
      <c r="T141" s="30"/>
    </row>
    <row r="142" spans="1:20" x14ac:dyDescent="0.25">
      <c r="A142" s="68"/>
      <c r="B142" s="68"/>
      <c r="C142" s="30"/>
      <c r="D142" s="30"/>
      <c r="E142" s="30"/>
      <c r="F142" s="30"/>
      <c r="G142" s="69"/>
      <c r="H142" s="71"/>
      <c r="I142" s="71"/>
      <c r="J142" s="71"/>
      <c r="K142" s="69"/>
      <c r="L142" s="69"/>
      <c r="M142" s="30"/>
      <c r="N142" s="30"/>
      <c r="O142" s="30"/>
      <c r="P142" s="70"/>
      <c r="Q142" s="70"/>
      <c r="R142" s="30"/>
      <c r="S142" s="30"/>
      <c r="T142" s="30"/>
    </row>
    <row r="143" spans="1:20" x14ac:dyDescent="0.25">
      <c r="A143" s="68"/>
      <c r="B143" s="68"/>
      <c r="C143" s="30"/>
      <c r="D143" s="30"/>
      <c r="E143" s="30"/>
      <c r="F143" s="30"/>
      <c r="G143" s="69"/>
      <c r="H143" s="71"/>
      <c r="I143" s="71"/>
      <c r="J143" s="71"/>
      <c r="K143" s="69"/>
      <c r="L143" s="69"/>
      <c r="M143" s="30"/>
      <c r="N143" s="30"/>
      <c r="O143" s="30"/>
      <c r="P143" s="70"/>
      <c r="Q143" s="70"/>
      <c r="R143" s="30"/>
      <c r="S143" s="30"/>
      <c r="T143" s="30"/>
    </row>
    <row r="144" spans="1:20" x14ac:dyDescent="0.25">
      <c r="A144" s="68"/>
      <c r="B144" s="68"/>
      <c r="C144" s="30"/>
      <c r="D144" s="30"/>
      <c r="E144" s="30"/>
      <c r="F144" s="30"/>
      <c r="G144" s="69"/>
      <c r="H144" s="71"/>
      <c r="I144" s="71"/>
      <c r="J144" s="71"/>
      <c r="K144" s="69"/>
      <c r="L144" s="69"/>
      <c r="M144" s="30"/>
      <c r="N144" s="30"/>
      <c r="O144" s="30"/>
      <c r="P144" s="70"/>
      <c r="Q144" s="70"/>
      <c r="R144" s="30"/>
      <c r="S144" s="30"/>
      <c r="T144" s="30"/>
    </row>
    <row r="154" spans="1:20" ht="27" customHeight="1" x14ac:dyDescent="0.25">
      <c r="A154" s="293" t="s">
        <v>163</v>
      </c>
      <c r="B154" s="293"/>
      <c r="C154" s="56" t="s">
        <v>165</v>
      </c>
      <c r="D154" s="56"/>
      <c r="E154" s="56"/>
      <c r="F154" s="294" t="s">
        <v>348</v>
      </c>
      <c r="G154" s="294"/>
      <c r="H154" s="294"/>
      <c r="I154" s="294"/>
      <c r="J154" s="294"/>
      <c r="K154" s="294"/>
      <c r="L154" s="294"/>
      <c r="M154" s="56"/>
      <c r="N154" s="56"/>
      <c r="O154" s="64" t="s">
        <v>167</v>
      </c>
      <c r="P154" s="65">
        <v>44531</v>
      </c>
      <c r="Q154" s="56"/>
      <c r="R154" s="56"/>
    </row>
    <row r="155" spans="1:20" ht="27" customHeight="1" thickBot="1" x14ac:dyDescent="0.3">
      <c r="A155" s="296" t="s">
        <v>164</v>
      </c>
      <c r="B155" s="296"/>
      <c r="C155" s="63" t="s">
        <v>166</v>
      </c>
      <c r="D155" s="63"/>
      <c r="E155" s="62"/>
      <c r="F155" s="295"/>
      <c r="G155" s="295"/>
      <c r="H155" s="295"/>
      <c r="I155" s="295"/>
      <c r="J155" s="295"/>
      <c r="K155" s="295"/>
      <c r="L155" s="295"/>
      <c r="M155" s="32"/>
      <c r="N155" s="32"/>
      <c r="O155" s="72" t="s">
        <v>168</v>
      </c>
      <c r="P155" s="73">
        <v>0.91666666666666663</v>
      </c>
      <c r="Q155" s="9"/>
      <c r="R155" s="9"/>
    </row>
    <row r="156" spans="1:20" x14ac:dyDescent="0.25">
      <c r="A156" s="58" t="s">
        <v>0</v>
      </c>
      <c r="B156" s="57" t="s">
        <v>20</v>
      </c>
      <c r="C156" s="93" t="s">
        <v>132</v>
      </c>
      <c r="D156" s="93" t="s">
        <v>133</v>
      </c>
      <c r="E156" s="93" t="s">
        <v>134</v>
      </c>
      <c r="F156" s="98" t="s">
        <v>135</v>
      </c>
      <c r="G156" s="227" t="s">
        <v>136</v>
      </c>
      <c r="H156" s="93" t="s">
        <v>139</v>
      </c>
      <c r="I156" s="93" t="s">
        <v>137</v>
      </c>
      <c r="J156" s="93" t="s">
        <v>144</v>
      </c>
      <c r="K156" s="93" t="s">
        <v>169</v>
      </c>
      <c r="L156" s="33" t="s">
        <v>170</v>
      </c>
      <c r="M156" s="75" t="s">
        <v>147</v>
      </c>
      <c r="N156" s="75" t="s">
        <v>148</v>
      </c>
      <c r="O156" s="75" t="s">
        <v>149</v>
      </c>
      <c r="P156" s="77" t="s">
        <v>150</v>
      </c>
      <c r="Q156" s="9"/>
      <c r="R156" s="9"/>
      <c r="S156" s="9"/>
      <c r="T156" s="9"/>
    </row>
    <row r="157" spans="1:20" x14ac:dyDescent="0.25">
      <c r="A157" s="15"/>
      <c r="B157" s="49" t="s">
        <v>142</v>
      </c>
      <c r="C157" s="50">
        <v>15</v>
      </c>
      <c r="D157" s="50">
        <v>15</v>
      </c>
      <c r="E157" s="50">
        <v>15</v>
      </c>
      <c r="F157" s="51">
        <v>15</v>
      </c>
      <c r="G157" s="52">
        <v>15</v>
      </c>
      <c r="H157" s="50">
        <v>10</v>
      </c>
      <c r="I157" s="50">
        <v>35</v>
      </c>
      <c r="J157" s="50">
        <v>40</v>
      </c>
      <c r="K157" s="53">
        <v>75</v>
      </c>
      <c r="L157" s="54">
        <v>75</v>
      </c>
      <c r="M157" s="55">
        <v>100</v>
      </c>
      <c r="N157" s="55" t="s">
        <v>151</v>
      </c>
      <c r="O157" s="54" t="s">
        <v>152</v>
      </c>
      <c r="P157" s="78" t="s">
        <v>153</v>
      </c>
    </row>
    <row r="158" spans="1:20" x14ac:dyDescent="0.25">
      <c r="A158" s="1" t="s">
        <v>57</v>
      </c>
      <c r="B158" s="29" t="s">
        <v>58</v>
      </c>
      <c r="C158" s="28">
        <v>1.6666666666666667</v>
      </c>
      <c r="D158" s="28">
        <v>7.333333333333333</v>
      </c>
      <c r="E158" s="28">
        <v>10.333333333333334</v>
      </c>
      <c r="F158" s="28">
        <f>(((SUM(Third_Semester_Computer_Network[[#This Row],[Quiz 1]:[Quiz 3]]))/SUM($C$63:$E$63))*$F$63)</f>
        <v>6.4444444444444455</v>
      </c>
      <c r="G158" s="27">
        <f>ROUND(Third_Semester_Computer_Network[[#This Row],[Quiz Average]],0)</f>
        <v>6</v>
      </c>
      <c r="H158" s="31">
        <v>4</v>
      </c>
      <c r="I158" s="28">
        <v>18</v>
      </c>
      <c r="J158" s="28">
        <v>24.5</v>
      </c>
      <c r="K158" s="28">
        <f>SUM(Third_Semester_Computer_Network[[#This Row],[Assignment]:[Final]])</f>
        <v>42.5</v>
      </c>
      <c r="L158" s="42">
        <f>ROUND(Third_Semester_Computer_Network[[#This Row],[Ass &amp; Final]],0)</f>
        <v>43</v>
      </c>
      <c r="M158" s="42">
        <f>SUM(G158,H158,L158)</f>
        <v>53</v>
      </c>
      <c r="N158" s="46" t="str">
        <f>IF(M158&gt;79,"A+",IF(M158&gt;74,"A",IF(M158&gt;69,"A-",IF(M158&gt;64,"B+",IF(M158&gt;59,"B",IF(M158&gt;54,"B-",IF(M158&gt;49,"C+",IF(M158&gt;44,"C",IF(M158&gt;39,"D",IF(M158&gt;0,"F","N/A"))))))))))</f>
        <v>C+</v>
      </c>
      <c r="O158" s="44" t="str">
        <f>IF(M158&gt;79,"4.00",IF(M158&gt;74,"3.75",IF(M158&gt;69,"3.50",IF(M158&gt;64,"3.25",IF(M158&gt;59,"3.00",IF(M158&gt;54,"2.75",IF(M158&gt;49,"2.50",IF(M158&gt;44,"2.25",IF(M158&gt;39,"2.00",IF(M158&gt;0,"0.00","N/A"))))))))))</f>
        <v>2.50</v>
      </c>
      <c r="P158" s="79" t="str">
        <f>IF(M158&gt;79,"Outstanding",IF(M158&gt;74,"Excellent",IF(M158&gt;69,"Very Good",IF(M158&gt;64,"Good",IF(M158&gt;59,"Satisfactory",IF(M158&gt;54,"Above Average",IF(M158&gt;49,"Average",IF(M158&gt;44,"Bellow Average",IF(M158&gt;39,"Pass",IF(M158&gt;0,"Fail","N/A"))))))))))</f>
        <v>Average</v>
      </c>
    </row>
    <row r="159" spans="1:20" x14ac:dyDescent="0.25">
      <c r="A159" s="1" t="s">
        <v>56</v>
      </c>
      <c r="B159" s="29" t="s">
        <v>59</v>
      </c>
      <c r="C159" s="28">
        <v>15</v>
      </c>
      <c r="D159" s="28">
        <v>14</v>
      </c>
      <c r="E159" s="28">
        <v>5.666666666666667</v>
      </c>
      <c r="F159" s="28">
        <f>(((SUM(Third_Semester_Computer_Network[[#This Row],[Quiz 1]:[Quiz 3]]))/SUM($C$63:$E$63))*$F$63)</f>
        <v>11.555555555555555</v>
      </c>
      <c r="G159" s="27">
        <f>ROUND(Third_Semester_Computer_Network[[#This Row],[Quiz Average]],0)</f>
        <v>12</v>
      </c>
      <c r="H159" s="31">
        <v>3</v>
      </c>
      <c r="I159" s="28">
        <v>22.5</v>
      </c>
      <c r="J159" s="28">
        <v>10</v>
      </c>
      <c r="K159" s="28">
        <f>SUM(Third_Semester_Computer_Network[[#This Row],[Assignment]:[Final]])</f>
        <v>32.5</v>
      </c>
      <c r="L159" s="42">
        <f>ROUND(Third_Semester_Computer_Network[[#This Row],[Ass &amp; Final]],0)</f>
        <v>33</v>
      </c>
      <c r="M159" s="42">
        <f t="shared" ref="M159:M163" si="16">SUM(G159,H159,L159)</f>
        <v>48</v>
      </c>
      <c r="N159" s="46" t="str">
        <f t="shared" ref="N159:N185" si="17">IF(M159&gt;79,"A+",IF(M159&gt;74,"A",IF(M159&gt;69,"A-",IF(M159&gt;64,"B+",IF(M159&gt;59,"B",IF(M159&gt;54,"B-",IF(M159&gt;49,"C+",IF(M159&gt;44,"C",IF(M159&gt;39,"D",IF(M159&gt;0,"F","N/A"))))))))))</f>
        <v>C</v>
      </c>
      <c r="O159" s="44" t="str">
        <f t="shared" ref="O159:O185" si="18">IF(M159&gt;79,"4.00",IF(M159&gt;74,"3.75",IF(M159&gt;69,"3.50",IF(M159&gt;64,"3.25",IF(M159&gt;59,"3.00",IF(M159&gt;54,"2.75",IF(M159&gt;49,"2.50",IF(M159&gt;44,"2.25",IF(M159&gt;39,"2.00",IF(M159&gt;0,"0.00","N/A"))))))))))</f>
        <v>2.25</v>
      </c>
      <c r="P159" s="79" t="str">
        <f t="shared" ref="P159:P185" si="19">IF(M159&gt;79,"Outstanding",IF(M159&gt;74,"Excellent",IF(M159&gt;69,"Very Good",IF(M159&gt;64,"Good",IF(M159&gt;59,"Satisfactory",IF(M159&gt;54,"Above Average",IF(M159&gt;49,"Average",IF(M159&gt;44,"Bellow Average",IF(M159&gt;39,"Pass",IF(M159&gt;0,"Fail","N/A"))))))))))</f>
        <v>Bellow Average</v>
      </c>
    </row>
    <row r="160" spans="1:20" x14ac:dyDescent="0.25">
      <c r="A160" s="1" t="s">
        <v>1</v>
      </c>
      <c r="B160" s="29" t="s">
        <v>27</v>
      </c>
      <c r="C160" s="28">
        <v>3</v>
      </c>
      <c r="D160" s="28">
        <v>15</v>
      </c>
      <c r="E160" s="28">
        <v>2.6666666666666665</v>
      </c>
      <c r="F160" s="28">
        <f>(((SUM(Third_Semester_Computer_Network[[#This Row],[Quiz 1]:[Quiz 3]]))/SUM($C$63:$E$63))*$F$63)</f>
        <v>6.8888888888888893</v>
      </c>
      <c r="G160" s="27">
        <f>ROUND(Third_Semester_Computer_Network[[#This Row],[Quiz Average]],0)</f>
        <v>7</v>
      </c>
      <c r="H160" s="31">
        <v>3</v>
      </c>
      <c r="I160" s="28">
        <v>16.5</v>
      </c>
      <c r="J160" s="28">
        <v>2</v>
      </c>
      <c r="K160" s="28">
        <f>SUM(Third_Semester_Computer_Network[[#This Row],[Assignment]:[Final]])</f>
        <v>18.5</v>
      </c>
      <c r="L160" s="42">
        <f>ROUND(Third_Semester_Computer_Network[[#This Row],[Ass &amp; Final]],0)</f>
        <v>19</v>
      </c>
      <c r="M160" s="42">
        <f t="shared" si="16"/>
        <v>29</v>
      </c>
      <c r="N160" s="46" t="str">
        <f t="shared" si="17"/>
        <v>F</v>
      </c>
      <c r="O160" s="44" t="str">
        <f t="shared" si="18"/>
        <v>0.00</v>
      </c>
      <c r="P160" s="34" t="str">
        <f t="shared" si="19"/>
        <v>Fail</v>
      </c>
    </row>
    <row r="161" spans="1:16" x14ac:dyDescent="0.25">
      <c r="A161" s="1" t="s">
        <v>2</v>
      </c>
      <c r="B161" s="29" t="s">
        <v>28</v>
      </c>
      <c r="C161" s="28">
        <v>9.6666666666666661</v>
      </c>
      <c r="D161" s="28">
        <v>12.333333333333334</v>
      </c>
      <c r="E161" s="28">
        <v>7.333333333333333</v>
      </c>
      <c r="F161" s="28">
        <f>(((SUM(Third_Semester_Computer_Network[[#This Row],[Quiz 1]:[Quiz 3]]))/SUM($C$63:$E$63))*$F$63)</f>
        <v>9.7777777777777768</v>
      </c>
      <c r="G161" s="27">
        <f>ROUND(Third_Semester_Computer_Network[[#This Row],[Quiz Average]],0)</f>
        <v>10</v>
      </c>
      <c r="H161" s="31">
        <v>4</v>
      </c>
      <c r="I161" s="28">
        <v>8</v>
      </c>
      <c r="J161" s="28">
        <v>31.5</v>
      </c>
      <c r="K161" s="28">
        <f>SUM(Third_Semester_Computer_Network[[#This Row],[Assignment]:[Final]])</f>
        <v>39.5</v>
      </c>
      <c r="L161" s="42">
        <f>ROUND(Third_Semester_Computer_Network[[#This Row],[Ass &amp; Final]],0)</f>
        <v>40</v>
      </c>
      <c r="M161" s="42">
        <f t="shared" si="16"/>
        <v>54</v>
      </c>
      <c r="N161" s="46" t="str">
        <f t="shared" si="17"/>
        <v>C+</v>
      </c>
      <c r="O161" s="44" t="str">
        <f t="shared" si="18"/>
        <v>2.50</v>
      </c>
      <c r="P161" s="34" t="str">
        <f t="shared" si="19"/>
        <v>Average</v>
      </c>
    </row>
    <row r="162" spans="1:16" x14ac:dyDescent="0.25">
      <c r="A162" s="1" t="s">
        <v>3</v>
      </c>
      <c r="B162" s="29" t="s">
        <v>29</v>
      </c>
      <c r="C162" s="28">
        <v>6.666666666666667</v>
      </c>
      <c r="D162" s="28">
        <v>8.6666666666666661</v>
      </c>
      <c r="E162" s="28">
        <v>11.333333333333334</v>
      </c>
      <c r="F162" s="28">
        <f>(((SUM(Third_Semester_Computer_Network[[#This Row],[Quiz 1]:[Quiz 3]]))/SUM($C$63:$E$63))*$F$63)</f>
        <v>8.8888888888888893</v>
      </c>
      <c r="G162" s="27">
        <f>ROUND(Third_Semester_Computer_Network[[#This Row],[Quiz Average]],0)</f>
        <v>9</v>
      </c>
      <c r="H162" s="31">
        <v>3</v>
      </c>
      <c r="I162" s="28">
        <v>20.5</v>
      </c>
      <c r="J162" s="28">
        <v>3.5</v>
      </c>
      <c r="K162" s="28">
        <f>SUM(Third_Semester_Computer_Network[[#This Row],[Assignment]:[Final]])</f>
        <v>24</v>
      </c>
      <c r="L162" s="42">
        <f>ROUND(Third_Semester_Computer_Network[[#This Row],[Ass &amp; Final]],0)</f>
        <v>24</v>
      </c>
      <c r="M162" s="42">
        <f t="shared" si="16"/>
        <v>36</v>
      </c>
      <c r="N162" s="46" t="str">
        <f t="shared" si="17"/>
        <v>F</v>
      </c>
      <c r="O162" s="44" t="str">
        <f t="shared" si="18"/>
        <v>0.00</v>
      </c>
      <c r="P162" s="34" t="str">
        <f t="shared" si="19"/>
        <v>Fail</v>
      </c>
    </row>
    <row r="163" spans="1:16" x14ac:dyDescent="0.25">
      <c r="A163" s="1" t="s">
        <v>4</v>
      </c>
      <c r="B163" s="29" t="s">
        <v>30</v>
      </c>
      <c r="C163" s="28">
        <v>8.3333333333333339</v>
      </c>
      <c r="D163" s="28">
        <v>11.333333333333334</v>
      </c>
      <c r="E163" s="28">
        <v>13</v>
      </c>
      <c r="F163" s="28">
        <f>(((SUM(Third_Semester_Computer_Network[[#This Row],[Quiz 1]:[Quiz 3]]))/SUM($C$63:$E$63))*$F$63)</f>
        <v>10.888888888888891</v>
      </c>
      <c r="G163" s="27">
        <f>ROUND(Third_Semester_Computer_Network[[#This Row],[Quiz Average]],0)</f>
        <v>11</v>
      </c>
      <c r="H163" s="31">
        <v>9</v>
      </c>
      <c r="I163" s="28">
        <v>27</v>
      </c>
      <c r="J163" s="28">
        <v>30</v>
      </c>
      <c r="K163" s="28">
        <f>SUM(Third_Semester_Computer_Network[[#This Row],[Assignment]:[Final]])</f>
        <v>57</v>
      </c>
      <c r="L163" s="42">
        <f>ROUND(Third_Semester_Computer_Network[[#This Row],[Ass &amp; Final]],0)</f>
        <v>57</v>
      </c>
      <c r="M163" s="42">
        <f t="shared" si="16"/>
        <v>77</v>
      </c>
      <c r="N163" s="46" t="str">
        <f t="shared" si="17"/>
        <v>A</v>
      </c>
      <c r="O163" s="44" t="str">
        <f t="shared" si="18"/>
        <v>3.75</v>
      </c>
      <c r="P163" s="34" t="str">
        <f t="shared" si="19"/>
        <v>Excellent</v>
      </c>
    </row>
    <row r="164" spans="1:16" s="21" customFormat="1" x14ac:dyDescent="0.25">
      <c r="A164" s="6" t="s">
        <v>5</v>
      </c>
      <c r="B164" s="225" t="s">
        <v>31</v>
      </c>
      <c r="C164" s="221"/>
      <c r="D164" s="221"/>
      <c r="E164" s="221"/>
      <c r="F164" s="221"/>
      <c r="G164" s="226"/>
      <c r="H164" s="220"/>
      <c r="I164" s="221"/>
      <c r="J164" s="221"/>
      <c r="K164" s="221"/>
      <c r="L164" s="222"/>
      <c r="M164" s="222"/>
      <c r="N164" s="223"/>
      <c r="O164" s="224"/>
      <c r="P164" s="219"/>
    </row>
    <row r="165" spans="1:16" s="21" customFormat="1" x14ac:dyDescent="0.25">
      <c r="A165" s="1" t="s">
        <v>6</v>
      </c>
      <c r="B165" s="29" t="s">
        <v>32</v>
      </c>
      <c r="C165" s="28">
        <v>1.3333333333333333</v>
      </c>
      <c r="D165" s="28">
        <v>2.6666666666666665</v>
      </c>
      <c r="E165" s="28">
        <v>6.333333333333333</v>
      </c>
      <c r="F165" s="28">
        <f>(((SUM(Third_Semester_Computer_Network[[#This Row],[Quiz 1]:[Quiz 3]]))/SUM($C$63:$E$63))*$F$63)</f>
        <v>3.4444444444444442</v>
      </c>
      <c r="G165" s="27">
        <f>ROUND(Third_Semester_Computer_Network[[#This Row],[Quiz Average]],0)</f>
        <v>3</v>
      </c>
      <c r="H165" s="31">
        <v>2</v>
      </c>
      <c r="I165" s="28">
        <v>10</v>
      </c>
      <c r="J165" s="28">
        <v>33</v>
      </c>
      <c r="K165" s="28">
        <f>SUM(Third_Semester_Computer_Network[[#This Row],[Assignment]:[Final]])</f>
        <v>43</v>
      </c>
      <c r="L165" s="42">
        <f>ROUND(Third_Semester_Computer_Network[[#This Row],[Ass &amp; Final]],0)</f>
        <v>43</v>
      </c>
      <c r="M165" s="42">
        <f t="shared" ref="M165:M182" si="20">SUM(G165,H165,L165)</f>
        <v>48</v>
      </c>
      <c r="N165" s="46" t="str">
        <f t="shared" si="17"/>
        <v>C</v>
      </c>
      <c r="O165" s="44" t="str">
        <f t="shared" si="18"/>
        <v>2.25</v>
      </c>
      <c r="P165" s="34" t="str">
        <f t="shared" si="19"/>
        <v>Bellow Average</v>
      </c>
    </row>
    <row r="166" spans="1:16" s="21" customFormat="1" x14ac:dyDescent="0.25">
      <c r="A166" s="1" t="s">
        <v>7</v>
      </c>
      <c r="B166" s="29" t="s">
        <v>33</v>
      </c>
      <c r="C166" s="28">
        <v>4</v>
      </c>
      <c r="D166" s="28">
        <v>6.666666666666667</v>
      </c>
      <c r="E166" s="28">
        <v>4.666666666666667</v>
      </c>
      <c r="F166" s="28">
        <f>(((SUM(Third_Semester_Computer_Network[[#This Row],[Quiz 1]:[Quiz 3]]))/SUM($C$63:$E$63))*$F$63)</f>
        <v>5.1111111111111116</v>
      </c>
      <c r="G166" s="27">
        <f>ROUND(Third_Semester_Computer_Network[[#This Row],[Quiz Average]],0)</f>
        <v>5</v>
      </c>
      <c r="H166" s="31">
        <v>6</v>
      </c>
      <c r="I166" s="28">
        <v>33</v>
      </c>
      <c r="J166" s="28">
        <v>5.5</v>
      </c>
      <c r="K166" s="28">
        <f>SUM(Third_Semester_Computer_Network[[#This Row],[Assignment]:[Final]])</f>
        <v>38.5</v>
      </c>
      <c r="L166" s="42">
        <f>ROUND(Third_Semester_Computer_Network[[#This Row],[Ass &amp; Final]],0)</f>
        <v>39</v>
      </c>
      <c r="M166" s="42">
        <f t="shared" si="20"/>
        <v>50</v>
      </c>
      <c r="N166" s="46" t="str">
        <f t="shared" si="17"/>
        <v>C+</v>
      </c>
      <c r="O166" s="44" t="str">
        <f t="shared" si="18"/>
        <v>2.50</v>
      </c>
      <c r="P166" s="34" t="str">
        <f t="shared" si="19"/>
        <v>Average</v>
      </c>
    </row>
    <row r="167" spans="1:16" s="21" customFormat="1" x14ac:dyDescent="0.25">
      <c r="A167" s="1" t="s">
        <v>8</v>
      </c>
      <c r="B167" s="29" t="s">
        <v>34</v>
      </c>
      <c r="C167" s="28">
        <v>1.3333333333333333</v>
      </c>
      <c r="D167" s="28">
        <v>4</v>
      </c>
      <c r="E167" s="28">
        <v>7.333333333333333</v>
      </c>
      <c r="F167" s="28">
        <f>(((SUM(Third_Semester_Computer_Network[[#This Row],[Quiz 1]:[Quiz 3]]))/SUM($C$63:$E$63))*$F$63)</f>
        <v>4.2222222222222214</v>
      </c>
      <c r="G167" s="27">
        <f>ROUND(Third_Semester_Computer_Network[[#This Row],[Quiz Average]],0)</f>
        <v>4</v>
      </c>
      <c r="H167" s="31">
        <v>7</v>
      </c>
      <c r="I167" s="28">
        <v>34</v>
      </c>
      <c r="J167" s="28">
        <v>18.5</v>
      </c>
      <c r="K167" s="28">
        <f>SUM(Third_Semester_Computer_Network[[#This Row],[Assignment]:[Final]])</f>
        <v>52.5</v>
      </c>
      <c r="L167" s="42">
        <f>ROUND(Third_Semester_Computer_Network[[#This Row],[Ass &amp; Final]],0)</f>
        <v>53</v>
      </c>
      <c r="M167" s="42">
        <f t="shared" si="20"/>
        <v>64</v>
      </c>
      <c r="N167" s="46" t="str">
        <f t="shared" si="17"/>
        <v>B</v>
      </c>
      <c r="O167" s="44" t="str">
        <f t="shared" si="18"/>
        <v>3.00</v>
      </c>
      <c r="P167" s="34" t="str">
        <f t="shared" si="19"/>
        <v>Satisfactory</v>
      </c>
    </row>
    <row r="168" spans="1:16" s="21" customFormat="1" x14ac:dyDescent="0.25">
      <c r="A168" s="1" t="s">
        <v>9</v>
      </c>
      <c r="B168" s="29" t="s">
        <v>35</v>
      </c>
      <c r="C168" s="28">
        <v>2.3333333333333335</v>
      </c>
      <c r="D168" s="28">
        <v>12.333333333333334</v>
      </c>
      <c r="E168" s="28">
        <v>2</v>
      </c>
      <c r="F168" s="28">
        <f>(((SUM(Third_Semester_Computer_Network[[#This Row],[Quiz 1]:[Quiz 3]]))/SUM($C$63:$E$63))*$F$63)</f>
        <v>5.5555555555555562</v>
      </c>
      <c r="G168" s="27">
        <f>ROUND(Third_Semester_Computer_Network[[#This Row],[Quiz Average]],0)</f>
        <v>6</v>
      </c>
      <c r="H168" s="31">
        <v>6</v>
      </c>
      <c r="I168" s="28">
        <v>8</v>
      </c>
      <c r="J168" s="28">
        <v>30.5</v>
      </c>
      <c r="K168" s="28">
        <f>SUM(Third_Semester_Computer_Network[[#This Row],[Assignment]:[Final]])</f>
        <v>38.5</v>
      </c>
      <c r="L168" s="42">
        <f>ROUND(Third_Semester_Computer_Network[[#This Row],[Ass &amp; Final]],0)</f>
        <v>39</v>
      </c>
      <c r="M168" s="42">
        <f t="shared" si="20"/>
        <v>51</v>
      </c>
      <c r="N168" s="46" t="str">
        <f t="shared" si="17"/>
        <v>C+</v>
      </c>
      <c r="O168" s="44" t="str">
        <f t="shared" si="18"/>
        <v>2.50</v>
      </c>
      <c r="P168" s="34" t="str">
        <f t="shared" si="19"/>
        <v>Average</v>
      </c>
    </row>
    <row r="169" spans="1:16" s="21" customFormat="1" x14ac:dyDescent="0.25">
      <c r="A169" s="1" t="s">
        <v>10</v>
      </c>
      <c r="B169" s="29" t="s">
        <v>36</v>
      </c>
      <c r="C169" s="28">
        <v>9</v>
      </c>
      <c r="D169" s="28">
        <v>5.666666666666667</v>
      </c>
      <c r="E169" s="28">
        <v>13.333333333333334</v>
      </c>
      <c r="F169" s="28">
        <f>(((SUM(Third_Semester_Computer_Network[[#This Row],[Quiz 1]:[Quiz 3]]))/SUM($C$63:$E$63))*$F$63)</f>
        <v>9.3333333333333339</v>
      </c>
      <c r="G169" s="27">
        <f>ROUND(Third_Semester_Computer_Network[[#This Row],[Quiz Average]],0)</f>
        <v>9</v>
      </c>
      <c r="H169" s="31">
        <v>6</v>
      </c>
      <c r="I169" s="28">
        <v>23</v>
      </c>
      <c r="J169" s="28">
        <v>15</v>
      </c>
      <c r="K169" s="28">
        <f>SUM(Third_Semester_Computer_Network[[#This Row],[Assignment]:[Final]])</f>
        <v>38</v>
      </c>
      <c r="L169" s="42">
        <f>ROUND(Third_Semester_Computer_Network[[#This Row],[Ass &amp; Final]],0)</f>
        <v>38</v>
      </c>
      <c r="M169" s="42">
        <f t="shared" si="20"/>
        <v>53</v>
      </c>
      <c r="N169" s="46" t="str">
        <f t="shared" si="17"/>
        <v>C+</v>
      </c>
      <c r="O169" s="44" t="str">
        <f t="shared" si="18"/>
        <v>2.50</v>
      </c>
      <c r="P169" s="34" t="str">
        <f t="shared" si="19"/>
        <v>Average</v>
      </c>
    </row>
    <row r="170" spans="1:16" s="21" customFormat="1" x14ac:dyDescent="0.25">
      <c r="A170" s="6" t="s">
        <v>11</v>
      </c>
      <c r="B170" s="225" t="s">
        <v>31</v>
      </c>
      <c r="C170" s="221"/>
      <c r="D170" s="221"/>
      <c r="E170" s="221"/>
      <c r="F170" s="221"/>
      <c r="G170" s="226"/>
      <c r="H170" s="220"/>
      <c r="I170" s="221"/>
      <c r="J170" s="221"/>
      <c r="K170" s="221"/>
      <c r="L170" s="222"/>
      <c r="M170" s="222"/>
      <c r="N170" s="223"/>
      <c r="O170" s="224"/>
      <c r="P170" s="219"/>
    </row>
    <row r="171" spans="1:16" s="21" customFormat="1" x14ac:dyDescent="0.25">
      <c r="A171" s="1" t="s">
        <v>12</v>
      </c>
      <c r="B171" s="29" t="s">
        <v>37</v>
      </c>
      <c r="C171" s="28">
        <v>4.666666666666667</v>
      </c>
      <c r="D171" s="28">
        <v>13.666666666666666</v>
      </c>
      <c r="E171" s="28">
        <v>1.3333333333333333</v>
      </c>
      <c r="F171" s="28">
        <f>(((SUM(Third_Semester_Computer_Network[[#This Row],[Quiz 1]:[Quiz 3]]))/SUM($C$63:$E$63))*$F$63)</f>
        <v>6.5555555555555554</v>
      </c>
      <c r="G171" s="27">
        <f>ROUND(Third_Semester_Computer_Network[[#This Row],[Quiz Average]],0)</f>
        <v>7</v>
      </c>
      <c r="H171" s="31">
        <v>3</v>
      </c>
      <c r="I171" s="28">
        <v>9</v>
      </c>
      <c r="J171" s="28">
        <v>31.5</v>
      </c>
      <c r="K171" s="28">
        <f>SUM(Third_Semester_Computer_Network[[#This Row],[Assignment]:[Final]])</f>
        <v>40.5</v>
      </c>
      <c r="L171" s="42">
        <f>ROUND(Third_Semester_Computer_Network[[#This Row],[Ass &amp; Final]],0)</f>
        <v>41</v>
      </c>
      <c r="M171" s="42">
        <f t="shared" si="20"/>
        <v>51</v>
      </c>
      <c r="N171" s="46" t="str">
        <f t="shared" si="17"/>
        <v>C+</v>
      </c>
      <c r="O171" s="44" t="str">
        <f t="shared" si="18"/>
        <v>2.50</v>
      </c>
      <c r="P171" s="34" t="str">
        <f t="shared" si="19"/>
        <v>Average</v>
      </c>
    </row>
    <row r="172" spans="1:16" s="21" customFormat="1" x14ac:dyDescent="0.25">
      <c r="A172" s="1" t="s">
        <v>13</v>
      </c>
      <c r="B172" s="29" t="s">
        <v>38</v>
      </c>
      <c r="C172" s="28">
        <v>14.333333333333334</v>
      </c>
      <c r="D172" s="28">
        <v>10</v>
      </c>
      <c r="E172" s="28">
        <v>10.666666666666666</v>
      </c>
      <c r="F172" s="28">
        <f>(((SUM(Third_Semester_Computer_Network[[#This Row],[Quiz 1]:[Quiz 3]]))/SUM($C$63:$E$63))*$F$63)</f>
        <v>11.666666666666666</v>
      </c>
      <c r="G172" s="27">
        <f>ROUND(Third_Semester_Computer_Network[[#This Row],[Quiz Average]],0)</f>
        <v>12</v>
      </c>
      <c r="H172" s="31">
        <v>6</v>
      </c>
      <c r="I172" s="28">
        <v>25</v>
      </c>
      <c r="J172" s="28">
        <v>31.5</v>
      </c>
      <c r="K172" s="28">
        <f>SUM(Third_Semester_Computer_Network[[#This Row],[Assignment]:[Final]])</f>
        <v>56.5</v>
      </c>
      <c r="L172" s="42">
        <f>ROUND(Third_Semester_Computer_Network[[#This Row],[Ass &amp; Final]],0)</f>
        <v>57</v>
      </c>
      <c r="M172" s="42">
        <f t="shared" si="20"/>
        <v>75</v>
      </c>
      <c r="N172" s="46" t="str">
        <f t="shared" si="17"/>
        <v>A</v>
      </c>
      <c r="O172" s="44" t="str">
        <f t="shared" si="18"/>
        <v>3.75</v>
      </c>
      <c r="P172" s="34" t="str">
        <f t="shared" si="19"/>
        <v>Excellent</v>
      </c>
    </row>
    <row r="173" spans="1:16" s="21" customFormat="1" x14ac:dyDescent="0.25">
      <c r="A173" s="1" t="s">
        <v>14</v>
      </c>
      <c r="B173" s="29" t="s">
        <v>39</v>
      </c>
      <c r="C173" s="28">
        <v>7</v>
      </c>
      <c r="D173" s="28">
        <v>3.6666666666666665</v>
      </c>
      <c r="E173" s="28">
        <v>1.3333333333333333</v>
      </c>
      <c r="F173" s="28">
        <f>(((SUM(Third_Semester_Computer_Network[[#This Row],[Quiz 1]:[Quiz 3]]))/SUM($C$63:$E$63))*$F$63)</f>
        <v>4</v>
      </c>
      <c r="G173" s="27">
        <f>ROUND(Third_Semester_Computer_Network[[#This Row],[Quiz Average]],0)</f>
        <v>4</v>
      </c>
      <c r="H173" s="31">
        <v>6</v>
      </c>
      <c r="I173" s="28">
        <v>34</v>
      </c>
      <c r="J173" s="28">
        <v>29</v>
      </c>
      <c r="K173" s="28">
        <f>SUM(Third_Semester_Computer_Network[[#This Row],[Assignment]:[Final]])</f>
        <v>63</v>
      </c>
      <c r="L173" s="42">
        <f>ROUND(Third_Semester_Computer_Network[[#This Row],[Ass &amp; Final]],0)</f>
        <v>63</v>
      </c>
      <c r="M173" s="42">
        <f t="shared" si="20"/>
        <v>73</v>
      </c>
      <c r="N173" s="46" t="str">
        <f t="shared" si="17"/>
        <v>A-</v>
      </c>
      <c r="O173" s="44" t="str">
        <f t="shared" si="18"/>
        <v>3.50</v>
      </c>
      <c r="P173" s="34" t="str">
        <f t="shared" si="19"/>
        <v>Very Good</v>
      </c>
    </row>
    <row r="174" spans="1:16" s="21" customFormat="1" x14ac:dyDescent="0.25">
      <c r="A174" s="1" t="s">
        <v>15</v>
      </c>
      <c r="B174" s="29" t="s">
        <v>40</v>
      </c>
      <c r="C174" s="28">
        <v>11.666666666666666</v>
      </c>
      <c r="D174" s="28">
        <v>10.666666666666666</v>
      </c>
      <c r="E174" s="28">
        <v>2.3333333333333335</v>
      </c>
      <c r="F174" s="28">
        <f>(((SUM(Third_Semester_Computer_Network[[#This Row],[Quiz 1]:[Quiz 3]]))/SUM($C$63:$E$63))*$F$63)</f>
        <v>8.2222222222222214</v>
      </c>
      <c r="G174" s="27">
        <f>ROUND(Third_Semester_Computer_Network[[#This Row],[Quiz Average]],0)</f>
        <v>8</v>
      </c>
      <c r="H174" s="31">
        <v>7</v>
      </c>
      <c r="I174" s="28">
        <v>2.5</v>
      </c>
      <c r="J174" s="28">
        <v>28.5</v>
      </c>
      <c r="K174" s="28">
        <f>SUM(Third_Semester_Computer_Network[[#This Row],[Assignment]:[Final]])</f>
        <v>31</v>
      </c>
      <c r="L174" s="42">
        <f>ROUND(Third_Semester_Computer_Network[[#This Row],[Ass &amp; Final]],0)</f>
        <v>31</v>
      </c>
      <c r="M174" s="42">
        <f t="shared" si="20"/>
        <v>46</v>
      </c>
      <c r="N174" s="46" t="str">
        <f t="shared" si="17"/>
        <v>C</v>
      </c>
      <c r="O174" s="44" t="str">
        <f t="shared" si="18"/>
        <v>2.25</v>
      </c>
      <c r="P174" s="34" t="str">
        <f t="shared" si="19"/>
        <v>Bellow Average</v>
      </c>
    </row>
    <row r="175" spans="1:16" s="21" customFormat="1" x14ac:dyDescent="0.25">
      <c r="A175" s="6" t="s">
        <v>16</v>
      </c>
      <c r="B175" s="225" t="s">
        <v>31</v>
      </c>
      <c r="C175" s="221"/>
      <c r="D175" s="221"/>
      <c r="E175" s="221"/>
      <c r="F175" s="221"/>
      <c r="G175" s="226"/>
      <c r="H175" s="220"/>
      <c r="I175" s="221"/>
      <c r="J175" s="221"/>
      <c r="K175" s="221"/>
      <c r="L175" s="222"/>
      <c r="M175" s="222"/>
      <c r="N175" s="223"/>
      <c r="O175" s="224"/>
      <c r="P175" s="219"/>
    </row>
    <row r="176" spans="1:16" x14ac:dyDescent="0.25">
      <c r="A176" s="1" t="s">
        <v>17</v>
      </c>
      <c r="B176" s="29" t="s">
        <v>41</v>
      </c>
      <c r="C176" s="28">
        <v>4</v>
      </c>
      <c r="D176" s="28">
        <v>5.333333333333333</v>
      </c>
      <c r="E176" s="28">
        <v>9.3333333333333339</v>
      </c>
      <c r="F176" s="28">
        <f>(((SUM(Third_Semester_Computer_Network[[#This Row],[Quiz 1]:[Quiz 3]]))/SUM($C$63:$E$63))*$F$63)</f>
        <v>6.2222222222222214</v>
      </c>
      <c r="G176" s="27">
        <f>ROUND(Third_Semester_Computer_Network[[#This Row],[Quiz Average]],0)</f>
        <v>6</v>
      </c>
      <c r="H176" s="31">
        <v>7</v>
      </c>
      <c r="I176" s="28">
        <v>25.5</v>
      </c>
      <c r="J176" s="28">
        <v>8</v>
      </c>
      <c r="K176" s="28">
        <f>SUM(Third_Semester_Computer_Network[[#This Row],[Assignment]:[Final]])</f>
        <v>33.5</v>
      </c>
      <c r="L176" s="42">
        <f>ROUND(Third_Semester_Computer_Network[[#This Row],[Ass &amp; Final]],0)</f>
        <v>34</v>
      </c>
      <c r="M176" s="42">
        <f t="shared" si="20"/>
        <v>47</v>
      </c>
      <c r="N176" s="46" t="str">
        <f t="shared" si="17"/>
        <v>C</v>
      </c>
      <c r="O176" s="44" t="str">
        <f t="shared" si="18"/>
        <v>2.25</v>
      </c>
      <c r="P176" s="34" t="str">
        <f t="shared" si="19"/>
        <v>Bellow Average</v>
      </c>
    </row>
    <row r="177" spans="1:20" x14ac:dyDescent="0.25">
      <c r="A177" s="1" t="s">
        <v>18</v>
      </c>
      <c r="B177" s="29" t="s">
        <v>42</v>
      </c>
      <c r="C177" s="28">
        <v>9</v>
      </c>
      <c r="D177" s="28">
        <v>5</v>
      </c>
      <c r="E177" s="28">
        <v>6.666666666666667</v>
      </c>
      <c r="F177" s="28">
        <f>(((SUM(Third_Semester_Computer_Network[[#This Row],[Quiz 1]:[Quiz 3]]))/SUM($C$63:$E$63))*$F$63)</f>
        <v>6.8888888888888893</v>
      </c>
      <c r="G177" s="27">
        <f>ROUND(Third_Semester_Computer_Network[[#This Row],[Quiz Average]],0)</f>
        <v>7</v>
      </c>
      <c r="H177" s="31">
        <v>10</v>
      </c>
      <c r="I177" s="28">
        <v>17.5</v>
      </c>
      <c r="J177" s="28">
        <v>33.5</v>
      </c>
      <c r="K177" s="28">
        <f>SUM(Third_Semester_Computer_Network[[#This Row],[Assignment]:[Final]])</f>
        <v>51</v>
      </c>
      <c r="L177" s="42">
        <f>ROUND(Third_Semester_Computer_Network[[#This Row],[Ass &amp; Final]],0)</f>
        <v>51</v>
      </c>
      <c r="M177" s="42">
        <f t="shared" si="20"/>
        <v>68</v>
      </c>
      <c r="N177" s="46" t="str">
        <f t="shared" si="17"/>
        <v>B+</v>
      </c>
      <c r="O177" s="44" t="str">
        <f t="shared" si="18"/>
        <v>3.25</v>
      </c>
      <c r="P177" s="34" t="str">
        <f t="shared" si="19"/>
        <v>Good</v>
      </c>
    </row>
    <row r="178" spans="1:20" x14ac:dyDescent="0.25">
      <c r="A178" s="1" t="s">
        <v>19</v>
      </c>
      <c r="B178" s="29" t="s">
        <v>43</v>
      </c>
      <c r="C178" s="28">
        <v>3.6666666666666665</v>
      </c>
      <c r="D178" s="28">
        <v>5</v>
      </c>
      <c r="E178" s="28">
        <v>8.3333333333333339</v>
      </c>
      <c r="F178" s="28">
        <f>(((SUM(Third_Semester_Computer_Network[[#This Row],[Quiz 1]:[Quiz 3]]))/SUM($C$63:$E$63))*$F$63)</f>
        <v>5.6666666666666661</v>
      </c>
      <c r="G178" s="27">
        <f>ROUND(Third_Semester_Computer_Network[[#This Row],[Quiz Average]],0)</f>
        <v>6</v>
      </c>
      <c r="H178" s="31">
        <v>6</v>
      </c>
      <c r="I178" s="28">
        <v>13.5</v>
      </c>
      <c r="J178" s="28">
        <v>13.5</v>
      </c>
      <c r="K178" s="28">
        <f>SUM(Third_Semester_Computer_Network[[#This Row],[Assignment]:[Final]])</f>
        <v>27</v>
      </c>
      <c r="L178" s="42">
        <f>ROUND(Third_Semester_Computer_Network[[#This Row],[Ass &amp; Final]],0)</f>
        <v>27</v>
      </c>
      <c r="M178" s="42">
        <f t="shared" si="20"/>
        <v>39</v>
      </c>
      <c r="N178" s="46" t="str">
        <f t="shared" si="17"/>
        <v>F</v>
      </c>
      <c r="O178" s="44" t="str">
        <f t="shared" si="18"/>
        <v>0.00</v>
      </c>
      <c r="P178" s="34" t="str">
        <f t="shared" si="19"/>
        <v>Fail</v>
      </c>
    </row>
    <row r="179" spans="1:20" x14ac:dyDescent="0.25">
      <c r="A179" s="1" t="s">
        <v>23</v>
      </c>
      <c r="B179" s="29" t="s">
        <v>44</v>
      </c>
      <c r="C179" s="28">
        <v>12</v>
      </c>
      <c r="D179" s="28">
        <v>12.666666666666666</v>
      </c>
      <c r="E179" s="28">
        <v>1.3333333333333333</v>
      </c>
      <c r="F179" s="28">
        <f>(((SUM(Third_Semester_Computer_Network[[#This Row],[Quiz 1]:[Quiz 3]]))/SUM($C$63:$E$63))*$F$63)</f>
        <v>8.6666666666666661</v>
      </c>
      <c r="G179" s="27">
        <f>ROUND(Third_Semester_Computer_Network[[#This Row],[Quiz Average]],0)</f>
        <v>9</v>
      </c>
      <c r="H179" s="31">
        <v>6</v>
      </c>
      <c r="I179" s="28">
        <v>31</v>
      </c>
      <c r="J179" s="28">
        <v>3.5</v>
      </c>
      <c r="K179" s="28">
        <f>SUM(Third_Semester_Computer_Network[[#This Row],[Assignment]:[Final]])</f>
        <v>34.5</v>
      </c>
      <c r="L179" s="42">
        <f>ROUND(Third_Semester_Computer_Network[[#This Row],[Ass &amp; Final]],0)</f>
        <v>35</v>
      </c>
      <c r="M179" s="42">
        <f t="shared" si="20"/>
        <v>50</v>
      </c>
      <c r="N179" s="46" t="str">
        <f t="shared" si="17"/>
        <v>C+</v>
      </c>
      <c r="O179" s="44" t="str">
        <f t="shared" si="18"/>
        <v>2.50</v>
      </c>
      <c r="P179" s="34" t="str">
        <f t="shared" si="19"/>
        <v>Average</v>
      </c>
    </row>
    <row r="180" spans="1:20" x14ac:dyDescent="0.25">
      <c r="A180" s="1" t="s">
        <v>24</v>
      </c>
      <c r="B180" s="29" t="s">
        <v>45</v>
      </c>
      <c r="C180" s="28">
        <v>8.3333333333333339</v>
      </c>
      <c r="D180" s="28">
        <v>4.666666666666667</v>
      </c>
      <c r="E180" s="28">
        <v>6.333333333333333</v>
      </c>
      <c r="F180" s="28">
        <f>(((SUM(Third_Semester_Computer_Network[[#This Row],[Quiz 1]:[Quiz 3]]))/SUM($C$63:$E$63))*$F$63)</f>
        <v>6.4444444444444438</v>
      </c>
      <c r="G180" s="27">
        <f>ROUND(Third_Semester_Computer_Network[[#This Row],[Quiz Average]],0)</f>
        <v>6</v>
      </c>
      <c r="H180" s="31">
        <v>3</v>
      </c>
      <c r="I180" s="28">
        <v>14.5</v>
      </c>
      <c r="J180" s="28">
        <v>34</v>
      </c>
      <c r="K180" s="28">
        <f>SUM(Third_Semester_Computer_Network[[#This Row],[Assignment]:[Final]])</f>
        <v>48.5</v>
      </c>
      <c r="L180" s="42">
        <f>ROUND(Third_Semester_Computer_Network[[#This Row],[Ass &amp; Final]],0)</f>
        <v>49</v>
      </c>
      <c r="M180" s="42">
        <f t="shared" si="20"/>
        <v>58</v>
      </c>
      <c r="N180" s="46" t="str">
        <f t="shared" si="17"/>
        <v>B-</v>
      </c>
      <c r="O180" s="44" t="str">
        <f t="shared" si="18"/>
        <v>2.75</v>
      </c>
      <c r="P180" s="34" t="str">
        <f t="shared" si="19"/>
        <v>Above Average</v>
      </c>
    </row>
    <row r="181" spans="1:20" x14ac:dyDescent="0.25">
      <c r="A181" s="1" t="s">
        <v>25</v>
      </c>
      <c r="B181" s="29" t="s">
        <v>46</v>
      </c>
      <c r="C181" s="28">
        <v>5</v>
      </c>
      <c r="D181" s="28">
        <v>13</v>
      </c>
      <c r="E181" s="28">
        <v>6.666666666666667</v>
      </c>
      <c r="F181" s="28">
        <f>(((SUM(Third_Semester_Computer_Network[[#This Row],[Quiz 1]:[Quiz 3]]))/SUM($C$63:$E$63))*$F$63)</f>
        <v>8.2222222222222232</v>
      </c>
      <c r="G181" s="27">
        <f>ROUND(Third_Semester_Computer_Network[[#This Row],[Quiz Average]],0)</f>
        <v>8</v>
      </c>
      <c r="H181" s="31">
        <v>8</v>
      </c>
      <c r="I181" s="28">
        <v>33</v>
      </c>
      <c r="J181" s="28">
        <v>11</v>
      </c>
      <c r="K181" s="28">
        <f>SUM(Third_Semester_Computer_Network[[#This Row],[Assignment]:[Final]])</f>
        <v>44</v>
      </c>
      <c r="L181" s="42">
        <f>ROUND(Third_Semester_Computer_Network[[#This Row],[Ass &amp; Final]],0)</f>
        <v>44</v>
      </c>
      <c r="M181" s="42">
        <f t="shared" si="20"/>
        <v>60</v>
      </c>
      <c r="N181" s="46" t="str">
        <f t="shared" si="17"/>
        <v>B</v>
      </c>
      <c r="O181" s="44" t="str">
        <f t="shared" si="18"/>
        <v>3.00</v>
      </c>
      <c r="P181" s="34" t="str">
        <f t="shared" si="19"/>
        <v>Satisfactory</v>
      </c>
    </row>
    <row r="182" spans="1:20" x14ac:dyDescent="0.25">
      <c r="A182" s="1" t="s">
        <v>26</v>
      </c>
      <c r="B182" s="29" t="s">
        <v>47</v>
      </c>
      <c r="C182" s="28">
        <v>7</v>
      </c>
      <c r="D182" s="28">
        <v>5</v>
      </c>
      <c r="E182" s="28">
        <v>5.333333333333333</v>
      </c>
      <c r="F182" s="28">
        <f>(((SUM(Third_Semester_Computer_Network[[#This Row],[Quiz 1]:[Quiz 3]]))/SUM($C$63:$E$63))*$F$63)</f>
        <v>5.7777777777777777</v>
      </c>
      <c r="G182" s="27">
        <f>ROUND(Third_Semester_Computer_Network[[#This Row],[Quiz Average]],0)</f>
        <v>6</v>
      </c>
      <c r="H182" s="31">
        <v>9</v>
      </c>
      <c r="I182" s="28">
        <v>1.5</v>
      </c>
      <c r="J182" s="28">
        <v>23</v>
      </c>
      <c r="K182" s="28">
        <f>SUM(Third_Semester_Computer_Network[[#This Row],[Assignment]:[Final]])</f>
        <v>24.5</v>
      </c>
      <c r="L182" s="42">
        <f>ROUND(Third_Semester_Computer_Network[[#This Row],[Ass &amp; Final]],0)</f>
        <v>25</v>
      </c>
      <c r="M182" s="42">
        <f t="shared" si="20"/>
        <v>40</v>
      </c>
      <c r="N182" s="46" t="str">
        <f t="shared" si="17"/>
        <v>D</v>
      </c>
      <c r="O182" s="44" t="str">
        <f t="shared" si="18"/>
        <v>2.00</v>
      </c>
      <c r="P182" s="34" t="str">
        <f t="shared" si="19"/>
        <v>Pass</v>
      </c>
    </row>
    <row r="183" spans="1:20" x14ac:dyDescent="0.25">
      <c r="A183" s="1" t="s">
        <v>50</v>
      </c>
      <c r="B183" s="29" t="s">
        <v>51</v>
      </c>
      <c r="C183" s="28">
        <v>11</v>
      </c>
      <c r="D183" s="28">
        <v>12.333333333333334</v>
      </c>
      <c r="E183" s="28">
        <v>10.666666666666666</v>
      </c>
      <c r="F183" s="28">
        <f>(((SUM(Third_Semester_Computer_Network[[#This Row],[Quiz 1]:[Quiz 3]]))/SUM($C$63:$E$63))*$F$63)</f>
        <v>11.333333333333332</v>
      </c>
      <c r="G183" s="27">
        <f>ROUND(Third_Semester_Computer_Network[[#This Row],[Quiz Average]],0)</f>
        <v>11</v>
      </c>
      <c r="H183" s="31">
        <v>10</v>
      </c>
      <c r="I183" s="28">
        <v>7.5</v>
      </c>
      <c r="J183" s="28">
        <v>31</v>
      </c>
      <c r="K183" s="28">
        <f>SUM(Third_Semester_Computer_Network[[#This Row],[Assignment]:[Final]])</f>
        <v>38.5</v>
      </c>
      <c r="L183" s="42">
        <f>ROUND(Third_Semester_Computer_Network[[#This Row],[Ass &amp; Final]],0)</f>
        <v>39</v>
      </c>
      <c r="M183" s="42">
        <f>SUM(G183,H183,L183)</f>
        <v>60</v>
      </c>
      <c r="N183" s="46" t="str">
        <f t="shared" si="17"/>
        <v>B</v>
      </c>
      <c r="O183" s="44" t="str">
        <f t="shared" si="18"/>
        <v>3.00</v>
      </c>
      <c r="P183" s="34" t="str">
        <f t="shared" si="19"/>
        <v>Satisfactory</v>
      </c>
    </row>
    <row r="184" spans="1:20" x14ac:dyDescent="0.25">
      <c r="A184" s="1" t="s">
        <v>53</v>
      </c>
      <c r="B184" s="29" t="s">
        <v>54</v>
      </c>
      <c r="C184" s="28">
        <v>5</v>
      </c>
      <c r="D184" s="28">
        <v>10</v>
      </c>
      <c r="E184" s="28">
        <v>10.666666666666666</v>
      </c>
      <c r="F184" s="28">
        <f>(((SUM(Third_Semester_Computer_Network[[#This Row],[Quiz 1]:[Quiz 3]]))/SUM($C$63:$E$63))*$F$63)</f>
        <v>8.5555555555555554</v>
      </c>
      <c r="G184" s="27">
        <f>ROUND(Third_Semester_Computer_Network[[#This Row],[Quiz Average]],0)</f>
        <v>9</v>
      </c>
      <c r="H184" s="31">
        <v>8</v>
      </c>
      <c r="I184" s="28">
        <v>2.5</v>
      </c>
      <c r="J184" s="28">
        <v>7.5</v>
      </c>
      <c r="K184" s="28">
        <f>SUM(Third_Semester_Computer_Network[[#This Row],[Assignment]:[Final]])</f>
        <v>10</v>
      </c>
      <c r="L184" s="42">
        <f>ROUND(Third_Semester_Computer_Network[[#This Row],[Ass &amp; Final]],0)</f>
        <v>10</v>
      </c>
      <c r="M184" s="42">
        <f t="shared" ref="M184:M185" si="21">SUM(G184,H184,L184)</f>
        <v>27</v>
      </c>
      <c r="N184" s="46" t="str">
        <f t="shared" si="17"/>
        <v>F</v>
      </c>
      <c r="O184" s="44" t="str">
        <f t="shared" si="18"/>
        <v>0.00</v>
      </c>
      <c r="P184" s="34" t="str">
        <f t="shared" si="19"/>
        <v>Fail</v>
      </c>
    </row>
    <row r="185" spans="1:20" ht="15.75" thickBot="1" x14ac:dyDescent="0.3">
      <c r="A185" s="35" t="s">
        <v>60</v>
      </c>
      <c r="B185" s="36" t="s">
        <v>61</v>
      </c>
      <c r="C185" s="37">
        <v>1.6666666666666667</v>
      </c>
      <c r="D185" s="37">
        <v>14.333333333333334</v>
      </c>
      <c r="E185" s="37">
        <v>5.666666666666667</v>
      </c>
      <c r="F185" s="37">
        <f>(((SUM(Third_Semester_Computer_Network[[#This Row],[Quiz 1]:[Quiz 3]]))/SUM($C$63:$E$63))*$F$63)</f>
        <v>7.2222222222222223</v>
      </c>
      <c r="G185" s="38">
        <f>ROUND(Third_Semester_Computer_Network[[#This Row],[Quiz Average]],0)</f>
        <v>7</v>
      </c>
      <c r="H185" s="39">
        <v>6</v>
      </c>
      <c r="I185" s="37">
        <v>5.5</v>
      </c>
      <c r="J185" s="37">
        <v>24</v>
      </c>
      <c r="K185" s="37">
        <f>SUM(Third_Semester_Computer_Network[[#This Row],[Assignment]:[Final]])</f>
        <v>29.5</v>
      </c>
      <c r="L185" s="43">
        <f>ROUND(Third_Semester_Computer_Network[[#This Row],[Ass &amp; Final]],0)</f>
        <v>30</v>
      </c>
      <c r="M185" s="76">
        <f t="shared" si="21"/>
        <v>43</v>
      </c>
      <c r="N185" s="47" t="str">
        <f t="shared" si="17"/>
        <v>D</v>
      </c>
      <c r="O185" s="45" t="str">
        <f t="shared" si="18"/>
        <v>2.00</v>
      </c>
      <c r="P185" s="41" t="str">
        <f t="shared" si="19"/>
        <v>Pass</v>
      </c>
    </row>
    <row r="186" spans="1:20" x14ac:dyDescent="0.25">
      <c r="A186" s="68"/>
      <c r="B186" s="68"/>
      <c r="C186" s="30"/>
      <c r="D186" s="30"/>
      <c r="E186" s="30"/>
      <c r="F186" s="30"/>
      <c r="G186" s="69"/>
      <c r="H186" s="71"/>
      <c r="I186" s="71"/>
      <c r="J186" s="71"/>
      <c r="K186" s="69"/>
      <c r="L186" s="69"/>
      <c r="M186" s="30"/>
      <c r="N186" s="30"/>
      <c r="O186" s="30"/>
      <c r="P186" s="70"/>
      <c r="Q186" s="70"/>
      <c r="R186" s="30"/>
      <c r="S186" s="30"/>
      <c r="T186" s="30"/>
    </row>
    <row r="187" spans="1:20" x14ac:dyDescent="0.25">
      <c r="A187" s="68"/>
      <c r="B187" s="68"/>
      <c r="C187" s="30"/>
      <c r="D187" s="30"/>
      <c r="E187" s="30"/>
      <c r="F187" s="30"/>
      <c r="G187" s="69"/>
      <c r="H187" s="71"/>
      <c r="I187" s="71"/>
      <c r="J187" s="71"/>
      <c r="K187" s="69"/>
      <c r="L187" s="69"/>
      <c r="M187" s="30"/>
      <c r="N187" s="30"/>
      <c r="O187" s="30"/>
      <c r="P187" s="70"/>
      <c r="Q187" s="70"/>
      <c r="R187" s="30"/>
      <c r="S187" s="30"/>
      <c r="T187" s="30"/>
    </row>
    <row r="188" spans="1:20" x14ac:dyDescent="0.25">
      <c r="A188" s="68"/>
      <c r="B188" s="68"/>
      <c r="C188" s="30"/>
      <c r="D188" s="30"/>
      <c r="E188" s="30"/>
      <c r="F188" s="30"/>
      <c r="G188" s="69"/>
      <c r="H188" s="71"/>
      <c r="I188" s="71"/>
      <c r="J188" s="71"/>
      <c r="K188" s="69"/>
      <c r="L188" s="69"/>
      <c r="M188" s="30"/>
      <c r="N188" s="30"/>
      <c r="O188" s="30"/>
      <c r="P188" s="70"/>
      <c r="Q188" s="70"/>
      <c r="R188" s="30"/>
      <c r="S188" s="30"/>
      <c r="T188" s="30"/>
    </row>
    <row r="189" spans="1:20" x14ac:dyDescent="0.25">
      <c r="A189" s="68"/>
      <c r="B189" s="68"/>
      <c r="C189" s="30"/>
      <c r="D189" s="30"/>
      <c r="E189" s="30"/>
      <c r="F189" s="30"/>
      <c r="G189" s="69"/>
      <c r="H189" s="71"/>
      <c r="I189" s="71"/>
      <c r="J189" s="71"/>
      <c r="K189" s="69"/>
      <c r="L189" s="69"/>
      <c r="M189" s="30"/>
      <c r="N189" s="30"/>
      <c r="O189" s="30"/>
      <c r="P189" s="70"/>
      <c r="Q189" s="70"/>
      <c r="R189" s="30"/>
      <c r="S189" s="30"/>
      <c r="T189" s="30"/>
    </row>
    <row r="190" spans="1:20" x14ac:dyDescent="0.25">
      <c r="A190" s="68"/>
      <c r="B190" s="68"/>
      <c r="C190" s="30"/>
      <c r="D190" s="30"/>
      <c r="E190" s="30"/>
      <c r="F190" s="30"/>
      <c r="G190" s="69"/>
      <c r="H190" s="71"/>
      <c r="I190" s="71"/>
      <c r="J190" s="71"/>
      <c r="K190" s="69"/>
      <c r="L190" s="69"/>
      <c r="M190" s="30"/>
      <c r="N190" s="30"/>
      <c r="O190" s="30"/>
      <c r="P190" s="70"/>
      <c r="Q190" s="70"/>
      <c r="R190" s="30"/>
      <c r="S190" s="30"/>
      <c r="T190" s="30"/>
    </row>
    <row r="191" spans="1:20" x14ac:dyDescent="0.25">
      <c r="A191" s="68"/>
      <c r="B191" s="68"/>
      <c r="C191" s="30"/>
      <c r="D191" s="30"/>
      <c r="E191" s="30"/>
      <c r="F191" s="30"/>
      <c r="G191" s="69"/>
      <c r="H191" s="71"/>
      <c r="I191" s="71"/>
      <c r="J191" s="71"/>
      <c r="K191" s="69"/>
      <c r="L191" s="69"/>
      <c r="M191" s="30"/>
      <c r="N191" s="30"/>
      <c r="O191" s="30"/>
      <c r="P191" s="70"/>
      <c r="Q191" s="70"/>
      <c r="R191" s="30"/>
      <c r="S191" s="30"/>
      <c r="T191" s="30"/>
    </row>
    <row r="201" spans="1:18" ht="27" customHeight="1" x14ac:dyDescent="0.25">
      <c r="A201" s="293" t="s">
        <v>163</v>
      </c>
      <c r="B201" s="293"/>
      <c r="C201" s="56" t="s">
        <v>165</v>
      </c>
      <c r="D201" s="56"/>
      <c r="E201" s="56"/>
      <c r="F201" s="294" t="s">
        <v>349</v>
      </c>
      <c r="G201" s="294"/>
      <c r="H201" s="294"/>
      <c r="I201" s="294"/>
      <c r="J201" s="294"/>
      <c r="K201" s="294"/>
      <c r="L201" s="294"/>
      <c r="M201" s="64" t="s">
        <v>167</v>
      </c>
      <c r="N201" s="65">
        <v>44531</v>
      </c>
      <c r="Q201" s="56"/>
      <c r="R201" s="56"/>
    </row>
    <row r="202" spans="1:18" ht="27" customHeight="1" thickBot="1" x14ac:dyDescent="0.3">
      <c r="A202" s="296" t="s">
        <v>164</v>
      </c>
      <c r="B202" s="296"/>
      <c r="C202" s="63" t="s">
        <v>166</v>
      </c>
      <c r="D202" s="63"/>
      <c r="E202" s="62"/>
      <c r="F202" s="295"/>
      <c r="G202" s="295"/>
      <c r="H202" s="295"/>
      <c r="I202" s="295"/>
      <c r="J202" s="295"/>
      <c r="K202" s="295"/>
      <c r="L202" s="295"/>
      <c r="M202" s="72" t="s">
        <v>168</v>
      </c>
      <c r="N202" s="73">
        <v>0.91666666666666663</v>
      </c>
      <c r="Q202" s="9"/>
      <c r="R202" s="9"/>
    </row>
    <row r="203" spans="1:18" x14ac:dyDescent="0.25">
      <c r="A203" s="58" t="s">
        <v>0</v>
      </c>
      <c r="B203" s="57" t="s">
        <v>20</v>
      </c>
      <c r="C203" s="27" t="s">
        <v>340</v>
      </c>
      <c r="D203" s="93" t="s">
        <v>139</v>
      </c>
      <c r="E203" s="93" t="s">
        <v>137</v>
      </c>
      <c r="F203" s="93" t="s">
        <v>144</v>
      </c>
      <c r="G203" s="93" t="s">
        <v>169</v>
      </c>
      <c r="H203" s="60" t="s">
        <v>170</v>
      </c>
      <c r="I203" s="75" t="s">
        <v>147</v>
      </c>
      <c r="J203" s="75" t="s">
        <v>148</v>
      </c>
      <c r="K203" s="75" t="s">
        <v>149</v>
      </c>
      <c r="L203" s="77" t="s">
        <v>150</v>
      </c>
      <c r="M203" s="9"/>
      <c r="N203" s="9"/>
      <c r="O203" s="9"/>
      <c r="P203" s="9"/>
    </row>
    <row r="204" spans="1:18" x14ac:dyDescent="0.25">
      <c r="A204" s="15"/>
      <c r="B204" s="49" t="s">
        <v>142</v>
      </c>
      <c r="C204" s="52">
        <v>25</v>
      </c>
      <c r="D204" s="50">
        <v>10</v>
      </c>
      <c r="E204" s="50">
        <v>25</v>
      </c>
      <c r="F204" s="50">
        <v>40</v>
      </c>
      <c r="G204" s="53">
        <v>65</v>
      </c>
      <c r="H204" s="54">
        <v>65</v>
      </c>
      <c r="I204" s="55">
        <v>100</v>
      </c>
      <c r="J204" s="55" t="s">
        <v>151</v>
      </c>
      <c r="K204" s="54" t="s">
        <v>152</v>
      </c>
      <c r="L204" s="78" t="s">
        <v>153</v>
      </c>
    </row>
    <row r="205" spans="1:18" x14ac:dyDescent="0.25">
      <c r="A205" s="1" t="s">
        <v>57</v>
      </c>
      <c r="B205" s="29" t="s">
        <v>58</v>
      </c>
      <c r="C205" s="34">
        <v>2</v>
      </c>
      <c r="D205" s="31">
        <v>10</v>
      </c>
      <c r="E205" s="28">
        <v>18.5</v>
      </c>
      <c r="F205" s="28">
        <v>12</v>
      </c>
      <c r="G205" s="28">
        <f>SUM(Third_Semester_Data_Structure_Lab[[#This Row],[Assignment]:[Final]])</f>
        <v>30.5</v>
      </c>
      <c r="H205" s="42">
        <f>ROUND(Third_Semester_Data_Structure_Lab[[#This Row],[Ass &amp; Final]],0)</f>
        <v>31</v>
      </c>
      <c r="I205" s="42">
        <f>SUM(C205,D205,H205)</f>
        <v>43</v>
      </c>
      <c r="J205" s="46" t="str">
        <f>IF(I205&gt;79,"A+",IF(I205&gt;74,"A",IF(I205&gt;69,"A-",IF(I205&gt;64,"B+",IF(I205&gt;59,"B",IF(I205&gt;54,"B-",IF(I205&gt;49,"C+",IF(I205&gt;44,"C",IF(I205&gt;39,"D",IF(I205&gt;0,"F","N/A"))))))))))</f>
        <v>D</v>
      </c>
      <c r="K205" s="44" t="str">
        <f>IF(I205&gt;79,"4.00",IF(I205&gt;74,"3.75",IF(I205&gt;69,"3.50",IF(I205&gt;64,"3.25",IF(I205&gt;59,"3.00",IF(I205&gt;54,"2.75",IF(I205&gt;49,"2.50",IF(I205&gt;44,"2.25",IF(I205&gt;39,"2.00",IF(I205&gt;0,"0.00","N/A"))))))))))</f>
        <v>2.00</v>
      </c>
      <c r="L205" s="79" t="str">
        <f>IF(I205&gt;79,"Outstanding",IF(I205&gt;74,"Excellent",IF(I205&gt;69,"Very Good",IF(I205&gt;64,"Good",IF(I205&gt;59,"Satisfactory",IF(I205&gt;54,"Above Average",IF(I205&gt;49,"Average",IF(I205&gt;44,"Bellow Average",IF(I205&gt;39,"Pass",IF(I205&gt;0,"Fail","N/A"))))))))))</f>
        <v>Pass</v>
      </c>
    </row>
    <row r="206" spans="1:18" x14ac:dyDescent="0.25">
      <c r="A206" s="1" t="s">
        <v>56</v>
      </c>
      <c r="B206" s="29" t="s">
        <v>59</v>
      </c>
      <c r="C206" s="34">
        <v>6</v>
      </c>
      <c r="D206" s="31">
        <v>2</v>
      </c>
      <c r="E206" s="28">
        <v>4.5</v>
      </c>
      <c r="F206" s="28">
        <v>14</v>
      </c>
      <c r="G206" s="28">
        <f>SUM(Third_Semester_Data_Structure_Lab[[#This Row],[Assignment]:[Final]])</f>
        <v>18.5</v>
      </c>
      <c r="H206" s="42">
        <f>ROUND(Third_Semester_Data_Structure_Lab[[#This Row],[Ass &amp; Final]],0)</f>
        <v>19</v>
      </c>
      <c r="I206" s="42">
        <f t="shared" ref="I206:I210" si="22">SUM(C206,D206,H206)</f>
        <v>27</v>
      </c>
      <c r="J206" s="46" t="str">
        <f t="shared" ref="J206:J232" si="23">IF(I206&gt;79,"A+",IF(I206&gt;74,"A",IF(I206&gt;69,"A-",IF(I206&gt;64,"B+",IF(I206&gt;59,"B",IF(I206&gt;54,"B-",IF(I206&gt;49,"C+",IF(I206&gt;44,"C",IF(I206&gt;39,"D",IF(I206&gt;0,"F","N/A"))))))))))</f>
        <v>F</v>
      </c>
      <c r="K206" s="44" t="str">
        <f t="shared" ref="K206:K232" si="24">IF(I206&gt;79,"4.00",IF(I206&gt;74,"3.75",IF(I206&gt;69,"3.50",IF(I206&gt;64,"3.25",IF(I206&gt;59,"3.00",IF(I206&gt;54,"2.75",IF(I206&gt;49,"2.50",IF(I206&gt;44,"2.25",IF(I206&gt;39,"2.00",IF(I206&gt;0,"0.00","N/A"))))))))))</f>
        <v>0.00</v>
      </c>
      <c r="L206" s="79" t="str">
        <f t="shared" ref="L206:L232" si="25">IF(I206&gt;79,"Outstanding",IF(I206&gt;74,"Excellent",IF(I206&gt;69,"Very Good",IF(I206&gt;64,"Good",IF(I206&gt;59,"Satisfactory",IF(I206&gt;54,"Above Average",IF(I206&gt;49,"Average",IF(I206&gt;44,"Bellow Average",IF(I206&gt;39,"Pass",IF(I206&gt;0,"Fail","N/A"))))))))))</f>
        <v>Fail</v>
      </c>
    </row>
    <row r="207" spans="1:18" x14ac:dyDescent="0.25">
      <c r="A207" s="1" t="s">
        <v>1</v>
      </c>
      <c r="B207" s="29" t="s">
        <v>27</v>
      </c>
      <c r="C207" s="34">
        <v>24.5</v>
      </c>
      <c r="D207" s="31">
        <v>3</v>
      </c>
      <c r="E207" s="28">
        <v>18</v>
      </c>
      <c r="F207" s="28">
        <v>9.5</v>
      </c>
      <c r="G207" s="28">
        <f>SUM(Third_Semester_Data_Structure_Lab[[#This Row],[Assignment]:[Final]])</f>
        <v>27.5</v>
      </c>
      <c r="H207" s="42">
        <f>ROUND(Third_Semester_Data_Structure_Lab[[#This Row],[Ass &amp; Final]],0)</f>
        <v>28</v>
      </c>
      <c r="I207" s="42">
        <f t="shared" si="22"/>
        <v>55.5</v>
      </c>
      <c r="J207" s="46" t="str">
        <f t="shared" si="23"/>
        <v>B-</v>
      </c>
      <c r="K207" s="44" t="str">
        <f t="shared" si="24"/>
        <v>2.75</v>
      </c>
      <c r="L207" s="34" t="str">
        <f t="shared" si="25"/>
        <v>Above Average</v>
      </c>
    </row>
    <row r="208" spans="1:18" x14ac:dyDescent="0.25">
      <c r="A208" s="1" t="s">
        <v>2</v>
      </c>
      <c r="B208" s="29" t="s">
        <v>28</v>
      </c>
      <c r="C208" s="34">
        <v>1.5</v>
      </c>
      <c r="D208" s="31">
        <v>9</v>
      </c>
      <c r="E208" s="28">
        <v>1.5</v>
      </c>
      <c r="F208" s="28">
        <v>37</v>
      </c>
      <c r="G208" s="28">
        <f>SUM(Third_Semester_Data_Structure_Lab[[#This Row],[Assignment]:[Final]])</f>
        <v>38.5</v>
      </c>
      <c r="H208" s="42">
        <f>ROUND(Third_Semester_Data_Structure_Lab[[#This Row],[Ass &amp; Final]],0)</f>
        <v>39</v>
      </c>
      <c r="I208" s="42">
        <f t="shared" si="22"/>
        <v>49.5</v>
      </c>
      <c r="J208" s="46" t="str">
        <f t="shared" si="23"/>
        <v>C+</v>
      </c>
      <c r="K208" s="44" t="str">
        <f t="shared" si="24"/>
        <v>2.50</v>
      </c>
      <c r="L208" s="34" t="str">
        <f t="shared" si="25"/>
        <v>Average</v>
      </c>
    </row>
    <row r="209" spans="1:12" x14ac:dyDescent="0.25">
      <c r="A209" s="1" t="s">
        <v>3</v>
      </c>
      <c r="B209" s="29" t="s">
        <v>29</v>
      </c>
      <c r="C209" s="34">
        <v>20.5</v>
      </c>
      <c r="D209" s="31">
        <v>7</v>
      </c>
      <c r="E209" s="28">
        <v>10</v>
      </c>
      <c r="F209" s="28">
        <v>14.5</v>
      </c>
      <c r="G209" s="28">
        <f>SUM(Third_Semester_Data_Structure_Lab[[#This Row],[Assignment]:[Final]])</f>
        <v>24.5</v>
      </c>
      <c r="H209" s="42">
        <f>ROUND(Third_Semester_Data_Structure_Lab[[#This Row],[Ass &amp; Final]],0)</f>
        <v>25</v>
      </c>
      <c r="I209" s="42">
        <f t="shared" si="22"/>
        <v>52.5</v>
      </c>
      <c r="J209" s="46" t="str">
        <f t="shared" si="23"/>
        <v>C+</v>
      </c>
      <c r="K209" s="44" t="str">
        <f t="shared" si="24"/>
        <v>2.50</v>
      </c>
      <c r="L209" s="34" t="str">
        <f t="shared" si="25"/>
        <v>Average</v>
      </c>
    </row>
    <row r="210" spans="1:12" x14ac:dyDescent="0.25">
      <c r="A210" s="1" t="s">
        <v>4</v>
      </c>
      <c r="B210" s="29" t="s">
        <v>30</v>
      </c>
      <c r="C210" s="34">
        <v>3</v>
      </c>
      <c r="D210" s="31">
        <v>8</v>
      </c>
      <c r="E210" s="28">
        <v>15.5</v>
      </c>
      <c r="F210" s="28">
        <v>15.5</v>
      </c>
      <c r="G210" s="28">
        <f>SUM(Third_Semester_Data_Structure_Lab[[#This Row],[Assignment]:[Final]])</f>
        <v>31</v>
      </c>
      <c r="H210" s="42">
        <f>ROUND(Third_Semester_Data_Structure_Lab[[#This Row],[Ass &amp; Final]],0)</f>
        <v>31</v>
      </c>
      <c r="I210" s="42">
        <f t="shared" si="22"/>
        <v>42</v>
      </c>
      <c r="J210" s="46" t="str">
        <f t="shared" si="23"/>
        <v>D</v>
      </c>
      <c r="K210" s="44" t="str">
        <f t="shared" si="24"/>
        <v>2.00</v>
      </c>
      <c r="L210" s="34" t="str">
        <f t="shared" si="25"/>
        <v>Pass</v>
      </c>
    </row>
    <row r="211" spans="1:12" s="21" customFormat="1" x14ac:dyDescent="0.25">
      <c r="A211" s="6" t="s">
        <v>5</v>
      </c>
      <c r="B211" s="225" t="s">
        <v>31</v>
      </c>
      <c r="C211" s="219"/>
      <c r="D211" s="220"/>
      <c r="E211" s="221"/>
      <c r="F211" s="221"/>
      <c r="G211" s="221"/>
      <c r="H211" s="222"/>
      <c r="I211" s="222"/>
      <c r="J211" s="223"/>
      <c r="K211" s="224"/>
      <c r="L211" s="219"/>
    </row>
    <row r="212" spans="1:12" s="21" customFormat="1" x14ac:dyDescent="0.25">
      <c r="A212" s="1" t="s">
        <v>6</v>
      </c>
      <c r="B212" s="29" t="s">
        <v>32</v>
      </c>
      <c r="C212" s="34">
        <v>13</v>
      </c>
      <c r="D212" s="31">
        <v>2</v>
      </c>
      <c r="E212" s="28">
        <v>22</v>
      </c>
      <c r="F212" s="28">
        <v>15</v>
      </c>
      <c r="G212" s="28">
        <f>SUM(Third_Semester_Data_Structure_Lab[[#This Row],[Assignment]:[Final]])</f>
        <v>37</v>
      </c>
      <c r="H212" s="42">
        <f>ROUND(Third_Semester_Data_Structure_Lab[[#This Row],[Ass &amp; Final]],0)</f>
        <v>37</v>
      </c>
      <c r="I212" s="42">
        <f t="shared" ref="I212:I229" si="26">SUM(C212,D212,H212)</f>
        <v>52</v>
      </c>
      <c r="J212" s="46" t="str">
        <f t="shared" si="23"/>
        <v>C+</v>
      </c>
      <c r="K212" s="44" t="str">
        <f t="shared" si="24"/>
        <v>2.50</v>
      </c>
      <c r="L212" s="34" t="str">
        <f t="shared" si="25"/>
        <v>Average</v>
      </c>
    </row>
    <row r="213" spans="1:12" s="21" customFormat="1" x14ac:dyDescent="0.25">
      <c r="A213" s="1" t="s">
        <v>7</v>
      </c>
      <c r="B213" s="29" t="s">
        <v>33</v>
      </c>
      <c r="C213" s="34">
        <v>19.5</v>
      </c>
      <c r="D213" s="31">
        <v>10</v>
      </c>
      <c r="E213" s="28">
        <v>15</v>
      </c>
      <c r="F213" s="28">
        <v>25.5</v>
      </c>
      <c r="G213" s="28">
        <f>SUM(Third_Semester_Data_Structure_Lab[[#This Row],[Assignment]:[Final]])</f>
        <v>40.5</v>
      </c>
      <c r="H213" s="42">
        <f>ROUND(Third_Semester_Data_Structure_Lab[[#This Row],[Ass &amp; Final]],0)</f>
        <v>41</v>
      </c>
      <c r="I213" s="42">
        <f>SUM(C213,D213,H213)</f>
        <v>70.5</v>
      </c>
      <c r="J213" s="46" t="str">
        <f t="shared" si="23"/>
        <v>A-</v>
      </c>
      <c r="K213" s="44" t="str">
        <f t="shared" si="24"/>
        <v>3.50</v>
      </c>
      <c r="L213" s="34" t="str">
        <f t="shared" si="25"/>
        <v>Very Good</v>
      </c>
    </row>
    <row r="214" spans="1:12" s="21" customFormat="1" x14ac:dyDescent="0.25">
      <c r="A214" s="1" t="s">
        <v>8</v>
      </c>
      <c r="B214" s="29" t="s">
        <v>34</v>
      </c>
      <c r="C214" s="34">
        <v>20</v>
      </c>
      <c r="D214" s="31">
        <v>10</v>
      </c>
      <c r="E214" s="28">
        <v>11.5</v>
      </c>
      <c r="F214" s="28">
        <v>31</v>
      </c>
      <c r="G214" s="28">
        <f>SUM(Third_Semester_Data_Structure_Lab[[#This Row],[Assignment]:[Final]])</f>
        <v>42.5</v>
      </c>
      <c r="H214" s="42">
        <f>ROUND(Third_Semester_Data_Structure_Lab[[#This Row],[Ass &amp; Final]],0)</f>
        <v>43</v>
      </c>
      <c r="I214" s="42">
        <f t="shared" si="26"/>
        <v>73</v>
      </c>
      <c r="J214" s="46" t="str">
        <f t="shared" si="23"/>
        <v>A-</v>
      </c>
      <c r="K214" s="44" t="str">
        <f t="shared" si="24"/>
        <v>3.50</v>
      </c>
      <c r="L214" s="34" t="str">
        <f t="shared" si="25"/>
        <v>Very Good</v>
      </c>
    </row>
    <row r="215" spans="1:12" s="21" customFormat="1" x14ac:dyDescent="0.25">
      <c r="A215" s="1" t="s">
        <v>9</v>
      </c>
      <c r="B215" s="29" t="s">
        <v>35</v>
      </c>
      <c r="C215" s="34">
        <v>7.5</v>
      </c>
      <c r="D215" s="31">
        <v>9</v>
      </c>
      <c r="E215" s="28">
        <v>10</v>
      </c>
      <c r="F215" s="28">
        <v>9</v>
      </c>
      <c r="G215" s="28">
        <f>SUM(Third_Semester_Data_Structure_Lab[[#This Row],[Assignment]:[Final]])</f>
        <v>19</v>
      </c>
      <c r="H215" s="42">
        <f>ROUND(Third_Semester_Data_Structure_Lab[[#This Row],[Ass &amp; Final]],0)</f>
        <v>19</v>
      </c>
      <c r="I215" s="42">
        <f t="shared" si="26"/>
        <v>35.5</v>
      </c>
      <c r="J215" s="46" t="str">
        <f t="shared" si="23"/>
        <v>F</v>
      </c>
      <c r="K215" s="44" t="str">
        <f t="shared" si="24"/>
        <v>0.00</v>
      </c>
      <c r="L215" s="34" t="str">
        <f t="shared" si="25"/>
        <v>Fail</v>
      </c>
    </row>
    <row r="216" spans="1:12" s="21" customFormat="1" x14ac:dyDescent="0.25">
      <c r="A216" s="1" t="s">
        <v>10</v>
      </c>
      <c r="B216" s="29" t="s">
        <v>36</v>
      </c>
      <c r="C216" s="34">
        <v>12.5</v>
      </c>
      <c r="D216" s="31">
        <v>10</v>
      </c>
      <c r="E216" s="28">
        <v>21</v>
      </c>
      <c r="F216" s="28">
        <v>25</v>
      </c>
      <c r="G216" s="28">
        <f>SUM(Third_Semester_Data_Structure_Lab[[#This Row],[Assignment]:[Final]])</f>
        <v>46</v>
      </c>
      <c r="H216" s="42">
        <f>ROUND(Third_Semester_Data_Structure_Lab[[#This Row],[Ass &amp; Final]],0)</f>
        <v>46</v>
      </c>
      <c r="I216" s="42">
        <f t="shared" si="26"/>
        <v>68.5</v>
      </c>
      <c r="J216" s="46" t="str">
        <f t="shared" si="23"/>
        <v>B+</v>
      </c>
      <c r="K216" s="44" t="str">
        <f t="shared" si="24"/>
        <v>3.25</v>
      </c>
      <c r="L216" s="34" t="str">
        <f t="shared" si="25"/>
        <v>Good</v>
      </c>
    </row>
    <row r="217" spans="1:12" s="21" customFormat="1" x14ac:dyDescent="0.25">
      <c r="A217" s="6" t="s">
        <v>11</v>
      </c>
      <c r="B217" s="225" t="s">
        <v>31</v>
      </c>
      <c r="C217" s="219"/>
      <c r="D217" s="220"/>
      <c r="E217" s="221"/>
      <c r="F217" s="221"/>
      <c r="G217" s="221"/>
      <c r="H217" s="222"/>
      <c r="I217" s="222"/>
      <c r="J217" s="223"/>
      <c r="K217" s="224"/>
      <c r="L217" s="219"/>
    </row>
    <row r="218" spans="1:12" s="21" customFormat="1" x14ac:dyDescent="0.25">
      <c r="A218" s="1" t="s">
        <v>12</v>
      </c>
      <c r="B218" s="29" t="s">
        <v>37</v>
      </c>
      <c r="C218" s="34">
        <v>9.5</v>
      </c>
      <c r="D218" s="31">
        <v>5</v>
      </c>
      <c r="E218" s="28">
        <v>6.5</v>
      </c>
      <c r="F218" s="28">
        <v>28.5</v>
      </c>
      <c r="G218" s="28">
        <f>SUM(Third_Semester_Data_Structure_Lab[[#This Row],[Assignment]:[Final]])</f>
        <v>35</v>
      </c>
      <c r="H218" s="42">
        <f>ROUND(Third_Semester_Data_Structure_Lab[[#This Row],[Ass &amp; Final]],0)</f>
        <v>35</v>
      </c>
      <c r="I218" s="42">
        <f t="shared" si="26"/>
        <v>49.5</v>
      </c>
      <c r="J218" s="46" t="str">
        <f t="shared" si="23"/>
        <v>C+</v>
      </c>
      <c r="K218" s="44" t="str">
        <f t="shared" si="24"/>
        <v>2.50</v>
      </c>
      <c r="L218" s="34" t="str">
        <f t="shared" si="25"/>
        <v>Average</v>
      </c>
    </row>
    <row r="219" spans="1:12" s="21" customFormat="1" x14ac:dyDescent="0.25">
      <c r="A219" s="1" t="s">
        <v>13</v>
      </c>
      <c r="B219" s="29" t="s">
        <v>38</v>
      </c>
      <c r="C219" s="34">
        <v>16</v>
      </c>
      <c r="D219" s="31">
        <v>3</v>
      </c>
      <c r="E219" s="28">
        <v>22.5</v>
      </c>
      <c r="F219" s="28">
        <v>13.5</v>
      </c>
      <c r="G219" s="28">
        <f>SUM(Third_Semester_Data_Structure_Lab[[#This Row],[Assignment]:[Final]])</f>
        <v>36</v>
      </c>
      <c r="H219" s="42">
        <f>ROUND(Third_Semester_Data_Structure_Lab[[#This Row],[Ass &amp; Final]],0)</f>
        <v>36</v>
      </c>
      <c r="I219" s="42">
        <f t="shared" si="26"/>
        <v>55</v>
      </c>
      <c r="J219" s="46" t="str">
        <f t="shared" si="23"/>
        <v>B-</v>
      </c>
      <c r="K219" s="44" t="str">
        <f t="shared" si="24"/>
        <v>2.75</v>
      </c>
      <c r="L219" s="34" t="str">
        <f t="shared" si="25"/>
        <v>Above Average</v>
      </c>
    </row>
    <row r="220" spans="1:12" s="21" customFormat="1" x14ac:dyDescent="0.25">
      <c r="A220" s="1" t="s">
        <v>14</v>
      </c>
      <c r="B220" s="29" t="s">
        <v>39</v>
      </c>
      <c r="C220" s="34">
        <v>9</v>
      </c>
      <c r="D220" s="31">
        <v>10</v>
      </c>
      <c r="E220" s="28">
        <v>6</v>
      </c>
      <c r="F220" s="28">
        <v>1.5</v>
      </c>
      <c r="G220" s="28">
        <f>SUM(Third_Semester_Data_Structure_Lab[[#This Row],[Assignment]:[Final]])</f>
        <v>7.5</v>
      </c>
      <c r="H220" s="42">
        <f>ROUND(Third_Semester_Data_Structure_Lab[[#This Row],[Ass &amp; Final]],0)</f>
        <v>8</v>
      </c>
      <c r="I220" s="42">
        <f t="shared" si="26"/>
        <v>27</v>
      </c>
      <c r="J220" s="46" t="str">
        <f t="shared" si="23"/>
        <v>F</v>
      </c>
      <c r="K220" s="44" t="str">
        <f t="shared" si="24"/>
        <v>0.00</v>
      </c>
      <c r="L220" s="34" t="str">
        <f t="shared" si="25"/>
        <v>Fail</v>
      </c>
    </row>
    <row r="221" spans="1:12" s="21" customFormat="1" x14ac:dyDescent="0.25">
      <c r="A221" s="1" t="s">
        <v>15</v>
      </c>
      <c r="B221" s="29" t="s">
        <v>40</v>
      </c>
      <c r="C221" s="34">
        <v>13.5</v>
      </c>
      <c r="D221" s="31">
        <v>8</v>
      </c>
      <c r="E221" s="28">
        <v>1.5</v>
      </c>
      <c r="F221" s="28">
        <v>30.5</v>
      </c>
      <c r="G221" s="28">
        <f>SUM(Third_Semester_Data_Structure_Lab[[#This Row],[Assignment]:[Final]])</f>
        <v>32</v>
      </c>
      <c r="H221" s="42">
        <f>ROUND(Third_Semester_Data_Structure_Lab[[#This Row],[Ass &amp; Final]],0)</f>
        <v>32</v>
      </c>
      <c r="I221" s="42">
        <f t="shared" si="26"/>
        <v>53.5</v>
      </c>
      <c r="J221" s="46" t="str">
        <f t="shared" si="23"/>
        <v>C+</v>
      </c>
      <c r="K221" s="44" t="str">
        <f t="shared" si="24"/>
        <v>2.50</v>
      </c>
      <c r="L221" s="34" t="str">
        <f t="shared" si="25"/>
        <v>Average</v>
      </c>
    </row>
    <row r="222" spans="1:12" s="21" customFormat="1" x14ac:dyDescent="0.25">
      <c r="A222" s="6" t="s">
        <v>16</v>
      </c>
      <c r="B222" s="225" t="s">
        <v>31</v>
      </c>
      <c r="C222" s="219"/>
      <c r="D222" s="220"/>
      <c r="E222" s="221"/>
      <c r="F222" s="221"/>
      <c r="G222" s="221"/>
      <c r="H222" s="222"/>
      <c r="I222" s="222"/>
      <c r="J222" s="223"/>
      <c r="K222" s="224"/>
      <c r="L222" s="219"/>
    </row>
    <row r="223" spans="1:12" x14ac:dyDescent="0.25">
      <c r="A223" s="1" t="s">
        <v>17</v>
      </c>
      <c r="B223" s="29" t="s">
        <v>41</v>
      </c>
      <c r="C223" s="34">
        <v>11.5</v>
      </c>
      <c r="D223" s="31">
        <v>4</v>
      </c>
      <c r="E223" s="28">
        <v>25</v>
      </c>
      <c r="F223" s="28">
        <v>39.5</v>
      </c>
      <c r="G223" s="28">
        <f>SUM(Third_Semester_Data_Structure_Lab[[#This Row],[Assignment]:[Final]])</f>
        <v>64.5</v>
      </c>
      <c r="H223" s="42">
        <f>ROUND(Third_Semester_Data_Structure_Lab[[#This Row],[Ass &amp; Final]],0)</f>
        <v>65</v>
      </c>
      <c r="I223" s="42">
        <f t="shared" si="26"/>
        <v>80.5</v>
      </c>
      <c r="J223" s="46" t="str">
        <f t="shared" si="23"/>
        <v>A+</v>
      </c>
      <c r="K223" s="44" t="str">
        <f t="shared" si="24"/>
        <v>4.00</v>
      </c>
      <c r="L223" s="34" t="str">
        <f t="shared" si="25"/>
        <v>Outstanding</v>
      </c>
    </row>
    <row r="224" spans="1:12" x14ac:dyDescent="0.25">
      <c r="A224" s="1" t="s">
        <v>18</v>
      </c>
      <c r="B224" s="29" t="s">
        <v>42</v>
      </c>
      <c r="C224" s="34">
        <v>24</v>
      </c>
      <c r="D224" s="31">
        <v>6</v>
      </c>
      <c r="E224" s="28">
        <v>23.5</v>
      </c>
      <c r="F224" s="28">
        <v>3.5</v>
      </c>
      <c r="G224" s="28">
        <f>SUM(Third_Semester_Data_Structure_Lab[[#This Row],[Assignment]:[Final]])</f>
        <v>27</v>
      </c>
      <c r="H224" s="42">
        <f>ROUND(Third_Semester_Data_Structure_Lab[[#This Row],[Ass &amp; Final]],0)</f>
        <v>27</v>
      </c>
      <c r="I224" s="42">
        <f t="shared" si="26"/>
        <v>57</v>
      </c>
      <c r="J224" s="46" t="str">
        <f t="shared" si="23"/>
        <v>B-</v>
      </c>
      <c r="K224" s="44" t="str">
        <f t="shared" si="24"/>
        <v>2.75</v>
      </c>
      <c r="L224" s="34" t="str">
        <f t="shared" si="25"/>
        <v>Above Average</v>
      </c>
    </row>
    <row r="225" spans="1:20" x14ac:dyDescent="0.25">
      <c r="A225" s="1" t="s">
        <v>19</v>
      </c>
      <c r="B225" s="29" t="s">
        <v>43</v>
      </c>
      <c r="C225" s="34">
        <v>2</v>
      </c>
      <c r="D225" s="31">
        <v>2</v>
      </c>
      <c r="E225" s="28">
        <v>11</v>
      </c>
      <c r="F225" s="28">
        <v>32.5</v>
      </c>
      <c r="G225" s="28">
        <f>SUM(Third_Semester_Data_Structure_Lab[[#This Row],[Assignment]:[Final]])</f>
        <v>43.5</v>
      </c>
      <c r="H225" s="42">
        <f>ROUND(Third_Semester_Data_Structure_Lab[[#This Row],[Ass &amp; Final]],0)</f>
        <v>44</v>
      </c>
      <c r="I225" s="42">
        <f t="shared" si="26"/>
        <v>48</v>
      </c>
      <c r="J225" s="46" t="str">
        <f t="shared" si="23"/>
        <v>C</v>
      </c>
      <c r="K225" s="44" t="str">
        <f t="shared" si="24"/>
        <v>2.25</v>
      </c>
      <c r="L225" s="34" t="str">
        <f t="shared" si="25"/>
        <v>Bellow Average</v>
      </c>
    </row>
    <row r="226" spans="1:20" x14ac:dyDescent="0.25">
      <c r="A226" s="1" t="s">
        <v>23</v>
      </c>
      <c r="B226" s="29" t="s">
        <v>44</v>
      </c>
      <c r="C226" s="34">
        <v>8</v>
      </c>
      <c r="D226" s="31">
        <v>2</v>
      </c>
      <c r="E226" s="28">
        <v>22</v>
      </c>
      <c r="F226" s="28">
        <v>11</v>
      </c>
      <c r="G226" s="28">
        <f>SUM(Third_Semester_Data_Structure_Lab[[#This Row],[Assignment]:[Final]])</f>
        <v>33</v>
      </c>
      <c r="H226" s="42">
        <f>ROUND(Third_Semester_Data_Structure_Lab[[#This Row],[Ass &amp; Final]],0)</f>
        <v>33</v>
      </c>
      <c r="I226" s="42">
        <f t="shared" si="26"/>
        <v>43</v>
      </c>
      <c r="J226" s="46" t="str">
        <f t="shared" si="23"/>
        <v>D</v>
      </c>
      <c r="K226" s="44" t="str">
        <f t="shared" si="24"/>
        <v>2.00</v>
      </c>
      <c r="L226" s="34" t="str">
        <f t="shared" si="25"/>
        <v>Pass</v>
      </c>
    </row>
    <row r="227" spans="1:20" x14ac:dyDescent="0.25">
      <c r="A227" s="1" t="s">
        <v>24</v>
      </c>
      <c r="B227" s="29" t="s">
        <v>45</v>
      </c>
      <c r="C227" s="34">
        <v>24.5</v>
      </c>
      <c r="D227" s="31">
        <v>4</v>
      </c>
      <c r="E227" s="28">
        <v>23.5</v>
      </c>
      <c r="F227" s="28">
        <v>7</v>
      </c>
      <c r="G227" s="28">
        <f>SUM(Third_Semester_Data_Structure_Lab[[#This Row],[Assignment]:[Final]])</f>
        <v>30.5</v>
      </c>
      <c r="H227" s="42">
        <f>ROUND(Third_Semester_Data_Structure_Lab[[#This Row],[Ass &amp; Final]],0)</f>
        <v>31</v>
      </c>
      <c r="I227" s="42">
        <f t="shared" si="26"/>
        <v>59.5</v>
      </c>
      <c r="J227" s="46" t="str">
        <f t="shared" si="23"/>
        <v>B</v>
      </c>
      <c r="K227" s="44" t="str">
        <f t="shared" si="24"/>
        <v>3.00</v>
      </c>
      <c r="L227" s="34" t="str">
        <f t="shared" si="25"/>
        <v>Satisfactory</v>
      </c>
    </row>
    <row r="228" spans="1:20" x14ac:dyDescent="0.25">
      <c r="A228" s="1" t="s">
        <v>25</v>
      </c>
      <c r="B228" s="29" t="s">
        <v>46</v>
      </c>
      <c r="C228" s="34">
        <v>3.5</v>
      </c>
      <c r="D228" s="31">
        <v>4</v>
      </c>
      <c r="E228" s="28">
        <v>9.5</v>
      </c>
      <c r="F228" s="28">
        <v>20.5</v>
      </c>
      <c r="G228" s="28">
        <f>SUM(Third_Semester_Data_Structure_Lab[[#This Row],[Assignment]:[Final]])</f>
        <v>30</v>
      </c>
      <c r="H228" s="42">
        <f>ROUND(Third_Semester_Data_Structure_Lab[[#This Row],[Ass &amp; Final]],0)</f>
        <v>30</v>
      </c>
      <c r="I228" s="42">
        <f t="shared" si="26"/>
        <v>37.5</v>
      </c>
      <c r="J228" s="46" t="str">
        <f t="shared" si="23"/>
        <v>F</v>
      </c>
      <c r="K228" s="44" t="str">
        <f t="shared" si="24"/>
        <v>0.00</v>
      </c>
      <c r="L228" s="34" t="str">
        <f t="shared" si="25"/>
        <v>Fail</v>
      </c>
    </row>
    <row r="229" spans="1:20" x14ac:dyDescent="0.25">
      <c r="A229" s="1" t="s">
        <v>26</v>
      </c>
      <c r="B229" s="29" t="s">
        <v>47</v>
      </c>
      <c r="C229" s="34">
        <v>11.5</v>
      </c>
      <c r="D229" s="31">
        <v>6</v>
      </c>
      <c r="E229" s="28">
        <v>24.5</v>
      </c>
      <c r="F229" s="28">
        <v>14</v>
      </c>
      <c r="G229" s="28">
        <f>SUM(Third_Semester_Data_Structure_Lab[[#This Row],[Assignment]:[Final]])</f>
        <v>38.5</v>
      </c>
      <c r="H229" s="42">
        <f>ROUND(Third_Semester_Data_Structure_Lab[[#This Row],[Ass &amp; Final]],0)</f>
        <v>39</v>
      </c>
      <c r="I229" s="42">
        <f t="shared" si="26"/>
        <v>56.5</v>
      </c>
      <c r="J229" s="46" t="str">
        <f t="shared" si="23"/>
        <v>B-</v>
      </c>
      <c r="K229" s="44" t="str">
        <f t="shared" si="24"/>
        <v>2.75</v>
      </c>
      <c r="L229" s="34" t="str">
        <f t="shared" si="25"/>
        <v>Above Average</v>
      </c>
    </row>
    <row r="230" spans="1:20" x14ac:dyDescent="0.25">
      <c r="A230" s="1" t="s">
        <v>50</v>
      </c>
      <c r="B230" s="29" t="s">
        <v>51</v>
      </c>
      <c r="C230" s="34">
        <v>9.5</v>
      </c>
      <c r="D230" s="31">
        <v>3</v>
      </c>
      <c r="E230" s="28">
        <v>21</v>
      </c>
      <c r="F230" s="28">
        <v>6</v>
      </c>
      <c r="G230" s="28">
        <f>SUM(Third_Semester_Data_Structure_Lab[[#This Row],[Assignment]:[Final]])</f>
        <v>27</v>
      </c>
      <c r="H230" s="42">
        <f>ROUND(Third_Semester_Data_Structure_Lab[[#This Row],[Ass &amp; Final]],0)</f>
        <v>27</v>
      </c>
      <c r="I230" s="42">
        <f>SUM(C230,D230,H230)</f>
        <v>39.5</v>
      </c>
      <c r="J230" s="46" t="str">
        <f t="shared" si="23"/>
        <v>D</v>
      </c>
      <c r="K230" s="44" t="str">
        <f t="shared" si="24"/>
        <v>2.00</v>
      </c>
      <c r="L230" s="34" t="str">
        <f t="shared" si="25"/>
        <v>Pass</v>
      </c>
    </row>
    <row r="231" spans="1:20" x14ac:dyDescent="0.25">
      <c r="A231" s="1" t="s">
        <v>53</v>
      </c>
      <c r="B231" s="29" t="s">
        <v>54</v>
      </c>
      <c r="C231" s="34">
        <v>23</v>
      </c>
      <c r="D231" s="31">
        <v>7</v>
      </c>
      <c r="E231" s="28">
        <v>14</v>
      </c>
      <c r="F231" s="28">
        <v>27</v>
      </c>
      <c r="G231" s="28">
        <f>SUM(Third_Semester_Data_Structure_Lab[[#This Row],[Assignment]:[Final]])</f>
        <v>41</v>
      </c>
      <c r="H231" s="42">
        <f>ROUND(Third_Semester_Data_Structure_Lab[[#This Row],[Ass &amp; Final]],0)</f>
        <v>41</v>
      </c>
      <c r="I231" s="42">
        <f t="shared" ref="I231:I232" si="27">SUM(C231,D231,H231)</f>
        <v>71</v>
      </c>
      <c r="J231" s="46" t="str">
        <f t="shared" si="23"/>
        <v>A-</v>
      </c>
      <c r="K231" s="44" t="str">
        <f t="shared" si="24"/>
        <v>3.50</v>
      </c>
      <c r="L231" s="34" t="str">
        <f t="shared" si="25"/>
        <v>Very Good</v>
      </c>
    </row>
    <row r="232" spans="1:20" ht="15.75" thickBot="1" x14ac:dyDescent="0.3">
      <c r="A232" s="122" t="s">
        <v>60</v>
      </c>
      <c r="B232" s="123" t="s">
        <v>61</v>
      </c>
      <c r="C232" s="124">
        <v>16.5</v>
      </c>
      <c r="D232" s="125">
        <v>3</v>
      </c>
      <c r="E232" s="126">
        <v>14.5</v>
      </c>
      <c r="F232" s="126">
        <v>20.5</v>
      </c>
      <c r="G232" s="126">
        <f>SUM(Third_Semester_Data_Structure_Lab[[#This Row],[Assignment]:[Final]])</f>
        <v>35</v>
      </c>
      <c r="H232" s="127">
        <f>ROUND(Third_Semester_Data_Structure_Lab[[#This Row],[Ass &amp; Final]],0)</f>
        <v>35</v>
      </c>
      <c r="I232" s="76">
        <f t="shared" si="27"/>
        <v>54.5</v>
      </c>
      <c r="J232" s="128" t="str">
        <f t="shared" si="23"/>
        <v>B-</v>
      </c>
      <c r="K232" s="129" t="str">
        <f t="shared" si="24"/>
        <v>2.75</v>
      </c>
      <c r="L232" s="124" t="str">
        <f t="shared" si="25"/>
        <v>Above Average</v>
      </c>
    </row>
    <row r="233" spans="1:20" x14ac:dyDescent="0.25">
      <c r="A233" s="68"/>
      <c r="B233" s="68"/>
      <c r="C233" s="30"/>
      <c r="D233" s="30"/>
      <c r="E233" s="30"/>
      <c r="F233" s="30"/>
      <c r="G233" s="69"/>
      <c r="H233" s="71"/>
      <c r="I233" s="71"/>
      <c r="J233" s="71"/>
      <c r="K233" s="69"/>
      <c r="L233" s="69"/>
      <c r="M233" s="30"/>
      <c r="N233" s="30"/>
      <c r="O233" s="30"/>
      <c r="P233" s="70"/>
      <c r="Q233" s="70"/>
      <c r="R233" s="30"/>
      <c r="S233" s="30"/>
      <c r="T233" s="30"/>
    </row>
    <row r="234" spans="1:20" x14ac:dyDescent="0.25">
      <c r="A234" s="68"/>
      <c r="B234" s="68"/>
      <c r="C234" s="30"/>
      <c r="D234" s="30"/>
      <c r="E234" s="30"/>
      <c r="F234" s="30"/>
      <c r="G234" s="69"/>
      <c r="H234" s="71"/>
      <c r="I234" s="71"/>
      <c r="J234" s="71"/>
      <c r="K234" s="69"/>
      <c r="L234" s="69"/>
      <c r="M234" s="30"/>
      <c r="N234" s="30"/>
      <c r="O234" s="30"/>
      <c r="P234" s="70"/>
      <c r="Q234" s="70"/>
      <c r="R234" s="30"/>
      <c r="S234" s="30"/>
      <c r="T234" s="30"/>
    </row>
    <row r="235" spans="1:20" x14ac:dyDescent="0.25">
      <c r="A235" s="68"/>
      <c r="B235" s="68"/>
      <c r="C235" s="30"/>
      <c r="D235" s="30"/>
      <c r="E235" s="30"/>
      <c r="F235" s="30"/>
      <c r="G235" s="69"/>
      <c r="H235" s="71"/>
      <c r="I235" s="71"/>
      <c r="J235" s="71"/>
      <c r="K235" s="69"/>
      <c r="L235" s="69"/>
      <c r="M235" s="30"/>
      <c r="N235" s="30"/>
      <c r="O235" s="30"/>
      <c r="P235" s="70"/>
      <c r="Q235" s="70"/>
      <c r="R235" s="30"/>
      <c r="S235" s="30"/>
      <c r="T235" s="30"/>
    </row>
    <row r="236" spans="1:20" x14ac:dyDescent="0.25">
      <c r="A236" s="68"/>
      <c r="B236" s="68"/>
      <c r="C236" s="30"/>
      <c r="D236" s="30"/>
      <c r="E236" s="30"/>
      <c r="F236" s="30"/>
      <c r="G236" s="69"/>
      <c r="H236" s="71"/>
      <c r="I236" s="71"/>
      <c r="J236" s="71"/>
      <c r="K236" s="69"/>
      <c r="L236" s="69"/>
      <c r="M236" s="30"/>
      <c r="N236" s="30"/>
      <c r="O236" s="30"/>
      <c r="P236" s="70"/>
      <c r="Q236" s="70"/>
      <c r="R236" s="30"/>
      <c r="S236" s="30"/>
      <c r="T236" s="30"/>
    </row>
    <row r="237" spans="1:20" x14ac:dyDescent="0.25">
      <c r="A237" s="68"/>
      <c r="B237" s="68"/>
      <c r="C237" s="30"/>
      <c r="D237" s="30"/>
      <c r="E237" s="30"/>
      <c r="F237" s="30"/>
      <c r="G237" s="69"/>
      <c r="H237" s="71"/>
      <c r="I237" s="71"/>
      <c r="J237" s="71"/>
      <c r="K237" s="69"/>
      <c r="L237" s="69"/>
      <c r="M237" s="30"/>
      <c r="N237" s="30"/>
      <c r="O237" s="30"/>
      <c r="P237" s="70"/>
      <c r="Q237" s="70"/>
      <c r="R237" s="30"/>
      <c r="S237" s="30"/>
      <c r="T237" s="30"/>
    </row>
    <row r="238" spans="1:20" x14ac:dyDescent="0.25">
      <c r="A238" s="68"/>
      <c r="B238" s="68"/>
      <c r="C238" s="30"/>
      <c r="D238" s="30"/>
      <c r="E238" s="30"/>
      <c r="F238" s="30"/>
      <c r="G238" s="69"/>
      <c r="H238" s="71"/>
      <c r="I238" s="71"/>
      <c r="J238" s="71"/>
      <c r="K238" s="69"/>
      <c r="L238" s="69"/>
      <c r="M238" s="30"/>
      <c r="N238" s="30"/>
      <c r="O238" s="30"/>
      <c r="P238" s="70"/>
      <c r="Q238" s="70"/>
      <c r="R238" s="30"/>
      <c r="S238" s="30"/>
      <c r="T238" s="30"/>
    </row>
    <row r="248" spans="1:18" ht="27" customHeight="1" x14ac:dyDescent="0.25">
      <c r="A248" s="293" t="s">
        <v>163</v>
      </c>
      <c r="B248" s="293"/>
      <c r="C248" s="56" t="s">
        <v>165</v>
      </c>
      <c r="D248" s="56"/>
      <c r="E248" s="56"/>
      <c r="F248" s="294" t="s">
        <v>350</v>
      </c>
      <c r="G248" s="294"/>
      <c r="H248" s="294"/>
      <c r="I248" s="294"/>
      <c r="J248" s="294"/>
      <c r="K248" s="294"/>
      <c r="L248" s="294"/>
      <c r="M248" s="64" t="s">
        <v>167</v>
      </c>
      <c r="N248" s="65">
        <v>44531</v>
      </c>
      <c r="Q248" s="56"/>
      <c r="R248" s="56"/>
    </row>
    <row r="249" spans="1:18" ht="27" customHeight="1" thickBot="1" x14ac:dyDescent="0.3">
      <c r="A249" s="296" t="s">
        <v>164</v>
      </c>
      <c r="B249" s="296"/>
      <c r="C249" s="63" t="s">
        <v>166</v>
      </c>
      <c r="D249" s="63"/>
      <c r="E249" s="62"/>
      <c r="F249" s="295"/>
      <c r="G249" s="295"/>
      <c r="H249" s="295"/>
      <c r="I249" s="295"/>
      <c r="J249" s="295"/>
      <c r="K249" s="295"/>
      <c r="L249" s="295"/>
      <c r="M249" s="72" t="s">
        <v>168</v>
      </c>
      <c r="N249" s="73">
        <v>0.91666666666666663</v>
      </c>
      <c r="Q249" s="9"/>
      <c r="R249" s="9"/>
    </row>
    <row r="250" spans="1:18" x14ac:dyDescent="0.25">
      <c r="A250" s="58" t="s">
        <v>0</v>
      </c>
      <c r="B250" s="57" t="s">
        <v>20</v>
      </c>
      <c r="C250" s="27" t="s">
        <v>340</v>
      </c>
      <c r="D250" s="93" t="s">
        <v>139</v>
      </c>
      <c r="E250" s="93" t="s">
        <v>137</v>
      </c>
      <c r="F250" s="93" t="s">
        <v>144</v>
      </c>
      <c r="G250" s="93" t="s">
        <v>169</v>
      </c>
      <c r="H250" s="60" t="s">
        <v>170</v>
      </c>
      <c r="I250" s="75" t="s">
        <v>147</v>
      </c>
      <c r="J250" s="75" t="s">
        <v>148</v>
      </c>
      <c r="K250" s="75" t="s">
        <v>149</v>
      </c>
      <c r="L250" s="77" t="s">
        <v>150</v>
      </c>
      <c r="M250" s="9"/>
      <c r="N250" s="9"/>
      <c r="O250" s="9"/>
      <c r="P250" s="9"/>
    </row>
    <row r="251" spans="1:18" x14ac:dyDescent="0.25">
      <c r="A251" s="15"/>
      <c r="B251" s="49" t="s">
        <v>142</v>
      </c>
      <c r="C251" s="52">
        <v>25</v>
      </c>
      <c r="D251" s="50">
        <v>10</v>
      </c>
      <c r="E251" s="50">
        <v>25</v>
      </c>
      <c r="F251" s="50">
        <v>40</v>
      </c>
      <c r="G251" s="53">
        <v>65</v>
      </c>
      <c r="H251" s="54">
        <v>65</v>
      </c>
      <c r="I251" s="55">
        <v>100</v>
      </c>
      <c r="J251" s="55" t="s">
        <v>151</v>
      </c>
      <c r="K251" s="54" t="s">
        <v>152</v>
      </c>
      <c r="L251" s="78" t="s">
        <v>153</v>
      </c>
    </row>
    <row r="252" spans="1:18" x14ac:dyDescent="0.25">
      <c r="A252" s="1" t="s">
        <v>57</v>
      </c>
      <c r="B252" s="29" t="s">
        <v>58</v>
      </c>
      <c r="C252" s="34">
        <v>6.5</v>
      </c>
      <c r="D252" s="31">
        <v>3</v>
      </c>
      <c r="E252" s="28">
        <v>3.5</v>
      </c>
      <c r="F252" s="28">
        <v>5</v>
      </c>
      <c r="G252" s="28">
        <f>SUM(Third_Semester_Computer_Network_Lab[[#This Row],[Assignment]:[Final]])</f>
        <v>8.5</v>
      </c>
      <c r="H252" s="42">
        <f>ROUND(Third_Semester_Computer_Network_Lab[[#This Row],[Ass &amp; Final]],0)</f>
        <v>9</v>
      </c>
      <c r="I252" s="42">
        <f>SUM(C252,D252,H252)</f>
        <v>18.5</v>
      </c>
      <c r="J252" s="46" t="str">
        <f>IF(I252&gt;79,"A+",IF(I252&gt;74,"A",IF(I252&gt;69,"A-",IF(I252&gt;64,"B+",IF(I252&gt;59,"B",IF(I252&gt;54,"B-",IF(I252&gt;49,"C+",IF(I252&gt;44,"C",IF(I252&gt;39,"D",IF(I252&gt;0,"F","N/A"))))))))))</f>
        <v>F</v>
      </c>
      <c r="K252" s="44" t="str">
        <f>IF(I252&gt;79,"4.00",IF(I252&gt;74,"3.75",IF(I252&gt;69,"3.50",IF(I252&gt;64,"3.25",IF(I252&gt;59,"3.00",IF(I252&gt;54,"2.75",IF(I252&gt;49,"2.50",IF(I252&gt;44,"2.25",IF(I252&gt;39,"2.00",IF(I252&gt;0,"0.00","N/A"))))))))))</f>
        <v>0.00</v>
      </c>
      <c r="L252" s="79" t="str">
        <f>IF(I252&gt;79,"Outstanding",IF(I252&gt;74,"Excellent",IF(I252&gt;69,"Very Good",IF(I252&gt;64,"Good",IF(I252&gt;59,"Satisfactory",IF(I252&gt;54,"Above Average",IF(I252&gt;49,"Average",IF(I252&gt;44,"Bellow Average",IF(I252&gt;39,"Pass",IF(I252&gt;0,"Fail","N/A"))))))))))</f>
        <v>Fail</v>
      </c>
    </row>
    <row r="253" spans="1:18" x14ac:dyDescent="0.25">
      <c r="A253" s="1" t="s">
        <v>56</v>
      </c>
      <c r="B253" s="29" t="s">
        <v>59</v>
      </c>
      <c r="C253" s="34">
        <v>6</v>
      </c>
      <c r="D253" s="31">
        <v>6</v>
      </c>
      <c r="E253" s="28">
        <v>18.5</v>
      </c>
      <c r="F253" s="28">
        <v>16.5</v>
      </c>
      <c r="G253" s="28">
        <f>SUM(Third_Semester_Computer_Network_Lab[[#This Row],[Assignment]:[Final]])</f>
        <v>35</v>
      </c>
      <c r="H253" s="42">
        <f>ROUND(Third_Semester_Computer_Network_Lab[[#This Row],[Ass &amp; Final]],0)</f>
        <v>35</v>
      </c>
      <c r="I253" s="42">
        <f t="shared" ref="I253:I257" si="28">SUM(C253,D253,H253)</f>
        <v>47</v>
      </c>
      <c r="J253" s="46" t="str">
        <f t="shared" ref="J253:J279" si="29">IF(I253&gt;79,"A+",IF(I253&gt;74,"A",IF(I253&gt;69,"A-",IF(I253&gt;64,"B+",IF(I253&gt;59,"B",IF(I253&gt;54,"B-",IF(I253&gt;49,"C+",IF(I253&gt;44,"C",IF(I253&gt;39,"D",IF(I253&gt;0,"F","N/A"))))))))))</f>
        <v>C</v>
      </c>
      <c r="K253" s="44" t="str">
        <f t="shared" ref="K253:K279" si="30">IF(I253&gt;79,"4.00",IF(I253&gt;74,"3.75",IF(I253&gt;69,"3.50",IF(I253&gt;64,"3.25",IF(I253&gt;59,"3.00",IF(I253&gt;54,"2.75",IF(I253&gt;49,"2.50",IF(I253&gt;44,"2.25",IF(I253&gt;39,"2.00",IF(I253&gt;0,"0.00","N/A"))))))))))</f>
        <v>2.25</v>
      </c>
      <c r="L253" s="79" t="str">
        <f t="shared" ref="L253:L279" si="31">IF(I253&gt;79,"Outstanding",IF(I253&gt;74,"Excellent",IF(I253&gt;69,"Very Good",IF(I253&gt;64,"Good",IF(I253&gt;59,"Satisfactory",IF(I253&gt;54,"Above Average",IF(I253&gt;49,"Average",IF(I253&gt;44,"Bellow Average",IF(I253&gt;39,"Pass",IF(I253&gt;0,"Fail","N/A"))))))))))</f>
        <v>Bellow Average</v>
      </c>
    </row>
    <row r="254" spans="1:18" x14ac:dyDescent="0.25">
      <c r="A254" s="1" t="s">
        <v>1</v>
      </c>
      <c r="B254" s="29" t="s">
        <v>27</v>
      </c>
      <c r="C254" s="34">
        <v>19.5</v>
      </c>
      <c r="D254" s="31">
        <v>2</v>
      </c>
      <c r="E254" s="28">
        <v>13</v>
      </c>
      <c r="F254" s="28">
        <v>25.5</v>
      </c>
      <c r="G254" s="28">
        <f>SUM(Third_Semester_Computer_Network_Lab[[#This Row],[Assignment]:[Final]])</f>
        <v>38.5</v>
      </c>
      <c r="H254" s="42">
        <f>ROUND(Third_Semester_Computer_Network_Lab[[#This Row],[Ass &amp; Final]],0)</f>
        <v>39</v>
      </c>
      <c r="I254" s="42">
        <f t="shared" si="28"/>
        <v>60.5</v>
      </c>
      <c r="J254" s="46" t="str">
        <f t="shared" si="29"/>
        <v>B</v>
      </c>
      <c r="K254" s="44" t="str">
        <f t="shared" si="30"/>
        <v>3.00</v>
      </c>
      <c r="L254" s="34" t="str">
        <f t="shared" si="31"/>
        <v>Satisfactory</v>
      </c>
    </row>
    <row r="255" spans="1:18" x14ac:dyDescent="0.25">
      <c r="A255" s="1" t="s">
        <v>2</v>
      </c>
      <c r="B255" s="29" t="s">
        <v>28</v>
      </c>
      <c r="C255" s="34">
        <v>8</v>
      </c>
      <c r="D255" s="31">
        <v>3</v>
      </c>
      <c r="E255" s="28">
        <v>9.5</v>
      </c>
      <c r="F255" s="28">
        <v>11.5</v>
      </c>
      <c r="G255" s="28">
        <f>SUM(Third_Semester_Computer_Network_Lab[[#This Row],[Assignment]:[Final]])</f>
        <v>21</v>
      </c>
      <c r="H255" s="42">
        <f>ROUND(Third_Semester_Computer_Network_Lab[[#This Row],[Ass &amp; Final]],0)</f>
        <v>21</v>
      </c>
      <c r="I255" s="42">
        <f t="shared" si="28"/>
        <v>32</v>
      </c>
      <c r="J255" s="46" t="str">
        <f t="shared" si="29"/>
        <v>F</v>
      </c>
      <c r="K255" s="44" t="str">
        <f t="shared" si="30"/>
        <v>0.00</v>
      </c>
      <c r="L255" s="34" t="str">
        <f t="shared" si="31"/>
        <v>Fail</v>
      </c>
    </row>
    <row r="256" spans="1:18" x14ac:dyDescent="0.25">
      <c r="A256" s="1" t="s">
        <v>3</v>
      </c>
      <c r="B256" s="29" t="s">
        <v>29</v>
      </c>
      <c r="C256" s="34">
        <v>10.5</v>
      </c>
      <c r="D256" s="31">
        <v>7</v>
      </c>
      <c r="E256" s="28">
        <v>4</v>
      </c>
      <c r="F256" s="28">
        <v>12</v>
      </c>
      <c r="G256" s="28">
        <f>SUM(Third_Semester_Computer_Network_Lab[[#This Row],[Assignment]:[Final]])</f>
        <v>16</v>
      </c>
      <c r="H256" s="42">
        <f>ROUND(Third_Semester_Computer_Network_Lab[[#This Row],[Ass &amp; Final]],0)</f>
        <v>16</v>
      </c>
      <c r="I256" s="42">
        <f t="shared" si="28"/>
        <v>33.5</v>
      </c>
      <c r="J256" s="46" t="str">
        <f t="shared" si="29"/>
        <v>F</v>
      </c>
      <c r="K256" s="44" t="str">
        <f t="shared" si="30"/>
        <v>0.00</v>
      </c>
      <c r="L256" s="34" t="str">
        <f t="shared" si="31"/>
        <v>Fail</v>
      </c>
    </row>
    <row r="257" spans="1:12" x14ac:dyDescent="0.25">
      <c r="A257" s="1" t="s">
        <v>4</v>
      </c>
      <c r="B257" s="29" t="s">
        <v>30</v>
      </c>
      <c r="C257" s="34">
        <v>12.5</v>
      </c>
      <c r="D257" s="31">
        <v>10</v>
      </c>
      <c r="E257" s="28">
        <v>15</v>
      </c>
      <c r="F257" s="28">
        <v>7.5</v>
      </c>
      <c r="G257" s="28">
        <f>SUM(Third_Semester_Computer_Network_Lab[[#This Row],[Assignment]:[Final]])</f>
        <v>22.5</v>
      </c>
      <c r="H257" s="42">
        <f>ROUND(Third_Semester_Computer_Network_Lab[[#This Row],[Ass &amp; Final]],0)</f>
        <v>23</v>
      </c>
      <c r="I257" s="42">
        <f t="shared" si="28"/>
        <v>45.5</v>
      </c>
      <c r="J257" s="46" t="str">
        <f t="shared" si="29"/>
        <v>C</v>
      </c>
      <c r="K257" s="44" t="str">
        <f t="shared" si="30"/>
        <v>2.25</v>
      </c>
      <c r="L257" s="34" t="str">
        <f t="shared" si="31"/>
        <v>Bellow Average</v>
      </c>
    </row>
    <row r="258" spans="1:12" s="21" customFormat="1" x14ac:dyDescent="0.25">
      <c r="A258" s="6" t="s">
        <v>5</v>
      </c>
      <c r="B258" s="225" t="s">
        <v>31</v>
      </c>
      <c r="C258" s="219"/>
      <c r="D258" s="220"/>
      <c r="E258" s="221"/>
      <c r="F258" s="221"/>
      <c r="G258" s="221"/>
      <c r="H258" s="222"/>
      <c r="I258" s="222"/>
      <c r="J258" s="223"/>
      <c r="K258" s="224"/>
      <c r="L258" s="219"/>
    </row>
    <row r="259" spans="1:12" s="21" customFormat="1" x14ac:dyDescent="0.25">
      <c r="A259" s="1" t="s">
        <v>6</v>
      </c>
      <c r="B259" s="29" t="s">
        <v>32</v>
      </c>
      <c r="C259" s="34">
        <v>20</v>
      </c>
      <c r="D259" s="31">
        <v>4</v>
      </c>
      <c r="E259" s="28">
        <v>6</v>
      </c>
      <c r="F259" s="28">
        <v>29</v>
      </c>
      <c r="G259" s="28">
        <f>SUM(Third_Semester_Computer_Network_Lab[[#This Row],[Assignment]:[Final]])</f>
        <v>35</v>
      </c>
      <c r="H259" s="42">
        <f>ROUND(Third_Semester_Computer_Network_Lab[[#This Row],[Ass &amp; Final]],0)</f>
        <v>35</v>
      </c>
      <c r="I259" s="42">
        <f t="shared" ref="I259" si="32">SUM(C259,D259,H259)</f>
        <v>59</v>
      </c>
      <c r="J259" s="46" t="str">
        <f t="shared" si="29"/>
        <v>B-</v>
      </c>
      <c r="K259" s="44" t="str">
        <f t="shared" si="30"/>
        <v>2.75</v>
      </c>
      <c r="L259" s="34" t="str">
        <f t="shared" si="31"/>
        <v>Above Average</v>
      </c>
    </row>
    <row r="260" spans="1:12" s="21" customFormat="1" x14ac:dyDescent="0.25">
      <c r="A260" s="1" t="s">
        <v>7</v>
      </c>
      <c r="B260" s="29" t="s">
        <v>33</v>
      </c>
      <c r="C260" s="34">
        <v>18.5</v>
      </c>
      <c r="D260" s="31">
        <v>10</v>
      </c>
      <c r="E260" s="28">
        <v>15</v>
      </c>
      <c r="F260" s="28">
        <v>38</v>
      </c>
      <c r="G260" s="28">
        <f>SUM(Third_Semester_Computer_Network_Lab[[#This Row],[Assignment]:[Final]])</f>
        <v>53</v>
      </c>
      <c r="H260" s="42">
        <f>ROUND(Third_Semester_Computer_Network_Lab[[#This Row],[Ass &amp; Final]],0)</f>
        <v>53</v>
      </c>
      <c r="I260" s="42">
        <f>SUM(C260,D260,H260)</f>
        <v>81.5</v>
      </c>
      <c r="J260" s="46" t="str">
        <f t="shared" si="29"/>
        <v>A+</v>
      </c>
      <c r="K260" s="44" t="str">
        <f t="shared" si="30"/>
        <v>4.00</v>
      </c>
      <c r="L260" s="34" t="str">
        <f t="shared" si="31"/>
        <v>Outstanding</v>
      </c>
    </row>
    <row r="261" spans="1:12" s="21" customFormat="1" x14ac:dyDescent="0.25">
      <c r="A261" s="1" t="s">
        <v>8</v>
      </c>
      <c r="B261" s="29" t="s">
        <v>34</v>
      </c>
      <c r="C261" s="34">
        <v>20</v>
      </c>
      <c r="D261" s="31">
        <v>8</v>
      </c>
      <c r="E261" s="28">
        <v>8.5</v>
      </c>
      <c r="F261" s="28">
        <v>32.5</v>
      </c>
      <c r="G261" s="28">
        <f>SUM(Third_Semester_Computer_Network_Lab[[#This Row],[Assignment]:[Final]])</f>
        <v>41</v>
      </c>
      <c r="H261" s="42">
        <f>ROUND(Third_Semester_Computer_Network_Lab[[#This Row],[Ass &amp; Final]],0)</f>
        <v>41</v>
      </c>
      <c r="I261" s="42">
        <f t="shared" ref="I261:I276" si="33">SUM(C261,D261,H261)</f>
        <v>69</v>
      </c>
      <c r="J261" s="46" t="str">
        <f t="shared" si="29"/>
        <v>B+</v>
      </c>
      <c r="K261" s="44" t="str">
        <f t="shared" si="30"/>
        <v>3.25</v>
      </c>
      <c r="L261" s="34" t="str">
        <f t="shared" si="31"/>
        <v>Good</v>
      </c>
    </row>
    <row r="262" spans="1:12" s="21" customFormat="1" x14ac:dyDescent="0.25">
      <c r="A262" s="1" t="s">
        <v>9</v>
      </c>
      <c r="B262" s="29" t="s">
        <v>35</v>
      </c>
      <c r="C262" s="34">
        <v>6.5</v>
      </c>
      <c r="D262" s="31">
        <v>3</v>
      </c>
      <c r="E262" s="28">
        <v>12.5</v>
      </c>
      <c r="F262" s="28">
        <v>23.5</v>
      </c>
      <c r="G262" s="28">
        <f>SUM(Third_Semester_Computer_Network_Lab[[#This Row],[Assignment]:[Final]])</f>
        <v>36</v>
      </c>
      <c r="H262" s="42">
        <f>ROUND(Third_Semester_Computer_Network_Lab[[#This Row],[Ass &amp; Final]],0)</f>
        <v>36</v>
      </c>
      <c r="I262" s="42">
        <f t="shared" si="33"/>
        <v>45.5</v>
      </c>
      <c r="J262" s="46" t="str">
        <f t="shared" si="29"/>
        <v>C</v>
      </c>
      <c r="K262" s="44" t="str">
        <f t="shared" si="30"/>
        <v>2.25</v>
      </c>
      <c r="L262" s="34" t="str">
        <f t="shared" si="31"/>
        <v>Bellow Average</v>
      </c>
    </row>
    <row r="263" spans="1:12" s="21" customFormat="1" x14ac:dyDescent="0.25">
      <c r="A263" s="1" t="s">
        <v>10</v>
      </c>
      <c r="B263" s="29" t="s">
        <v>36</v>
      </c>
      <c r="C263" s="34">
        <v>24</v>
      </c>
      <c r="D263" s="31">
        <v>8</v>
      </c>
      <c r="E263" s="28">
        <v>11.5</v>
      </c>
      <c r="F263" s="28">
        <v>6.5</v>
      </c>
      <c r="G263" s="28">
        <f>SUM(Third_Semester_Computer_Network_Lab[[#This Row],[Assignment]:[Final]])</f>
        <v>18</v>
      </c>
      <c r="H263" s="42">
        <f>ROUND(Third_Semester_Computer_Network_Lab[[#This Row],[Ass &amp; Final]],0)</f>
        <v>18</v>
      </c>
      <c r="I263" s="42">
        <f t="shared" si="33"/>
        <v>50</v>
      </c>
      <c r="J263" s="46" t="str">
        <f t="shared" si="29"/>
        <v>C+</v>
      </c>
      <c r="K263" s="44" t="str">
        <f t="shared" si="30"/>
        <v>2.50</v>
      </c>
      <c r="L263" s="34" t="str">
        <f t="shared" si="31"/>
        <v>Average</v>
      </c>
    </row>
    <row r="264" spans="1:12" s="21" customFormat="1" x14ac:dyDescent="0.25">
      <c r="A264" s="6" t="s">
        <v>11</v>
      </c>
      <c r="B264" s="225" t="s">
        <v>31</v>
      </c>
      <c r="C264" s="219"/>
      <c r="D264" s="220"/>
      <c r="E264" s="221"/>
      <c r="F264" s="221"/>
      <c r="G264" s="221"/>
      <c r="H264" s="222"/>
      <c r="I264" s="222"/>
      <c r="J264" s="223"/>
      <c r="K264" s="224"/>
      <c r="L264" s="219"/>
    </row>
    <row r="265" spans="1:12" s="21" customFormat="1" x14ac:dyDescent="0.25">
      <c r="A265" s="1" t="s">
        <v>12</v>
      </c>
      <c r="B265" s="29" t="s">
        <v>37</v>
      </c>
      <c r="C265" s="34">
        <v>2</v>
      </c>
      <c r="D265" s="31">
        <v>6</v>
      </c>
      <c r="E265" s="28">
        <v>5</v>
      </c>
      <c r="F265" s="28">
        <v>22.5</v>
      </c>
      <c r="G265" s="28">
        <f>SUM(Third_Semester_Computer_Network_Lab[[#This Row],[Assignment]:[Final]])</f>
        <v>27.5</v>
      </c>
      <c r="H265" s="42">
        <f>ROUND(Third_Semester_Computer_Network_Lab[[#This Row],[Ass &amp; Final]],0)</f>
        <v>28</v>
      </c>
      <c r="I265" s="42">
        <f t="shared" si="33"/>
        <v>36</v>
      </c>
      <c r="J265" s="46" t="str">
        <f t="shared" si="29"/>
        <v>F</v>
      </c>
      <c r="K265" s="44" t="str">
        <f t="shared" si="30"/>
        <v>0.00</v>
      </c>
      <c r="L265" s="34" t="str">
        <f t="shared" si="31"/>
        <v>Fail</v>
      </c>
    </row>
    <row r="266" spans="1:12" s="21" customFormat="1" x14ac:dyDescent="0.25">
      <c r="A266" s="1" t="s">
        <v>13</v>
      </c>
      <c r="B266" s="29" t="s">
        <v>38</v>
      </c>
      <c r="C266" s="34">
        <v>12</v>
      </c>
      <c r="D266" s="31">
        <v>6</v>
      </c>
      <c r="E266" s="28">
        <v>12.5</v>
      </c>
      <c r="F266" s="28">
        <v>35.5</v>
      </c>
      <c r="G266" s="28">
        <f>SUM(Third_Semester_Computer_Network_Lab[[#This Row],[Assignment]:[Final]])</f>
        <v>48</v>
      </c>
      <c r="H266" s="42">
        <f>ROUND(Third_Semester_Computer_Network_Lab[[#This Row],[Ass &amp; Final]],0)</f>
        <v>48</v>
      </c>
      <c r="I266" s="42">
        <f t="shared" si="33"/>
        <v>66</v>
      </c>
      <c r="J266" s="46" t="str">
        <f t="shared" si="29"/>
        <v>B+</v>
      </c>
      <c r="K266" s="44" t="str">
        <f t="shared" si="30"/>
        <v>3.25</v>
      </c>
      <c r="L266" s="34" t="str">
        <f t="shared" si="31"/>
        <v>Good</v>
      </c>
    </row>
    <row r="267" spans="1:12" s="21" customFormat="1" x14ac:dyDescent="0.25">
      <c r="A267" s="1" t="s">
        <v>14</v>
      </c>
      <c r="B267" s="29" t="s">
        <v>39</v>
      </c>
      <c r="C267" s="34">
        <v>2</v>
      </c>
      <c r="D267" s="31">
        <v>2</v>
      </c>
      <c r="E267" s="28">
        <v>7.5</v>
      </c>
      <c r="F267" s="28">
        <v>24</v>
      </c>
      <c r="G267" s="28">
        <f>SUM(Third_Semester_Computer_Network_Lab[[#This Row],[Assignment]:[Final]])</f>
        <v>31.5</v>
      </c>
      <c r="H267" s="42">
        <f>ROUND(Third_Semester_Computer_Network_Lab[[#This Row],[Ass &amp; Final]],0)</f>
        <v>32</v>
      </c>
      <c r="I267" s="42">
        <f t="shared" si="33"/>
        <v>36</v>
      </c>
      <c r="J267" s="46" t="str">
        <f t="shared" si="29"/>
        <v>F</v>
      </c>
      <c r="K267" s="44" t="str">
        <f t="shared" si="30"/>
        <v>0.00</v>
      </c>
      <c r="L267" s="34" t="str">
        <f t="shared" si="31"/>
        <v>Fail</v>
      </c>
    </row>
    <row r="268" spans="1:12" s="21" customFormat="1" x14ac:dyDescent="0.25">
      <c r="A268" s="1" t="s">
        <v>15</v>
      </c>
      <c r="B268" s="29" t="s">
        <v>40</v>
      </c>
      <c r="C268" s="34">
        <v>14</v>
      </c>
      <c r="D268" s="31">
        <v>7</v>
      </c>
      <c r="E268" s="28">
        <v>9</v>
      </c>
      <c r="F268" s="28">
        <v>21</v>
      </c>
      <c r="G268" s="28">
        <f>SUM(Third_Semester_Computer_Network_Lab[[#This Row],[Assignment]:[Final]])</f>
        <v>30</v>
      </c>
      <c r="H268" s="42">
        <f>ROUND(Third_Semester_Computer_Network_Lab[[#This Row],[Ass &amp; Final]],0)</f>
        <v>30</v>
      </c>
      <c r="I268" s="42">
        <f t="shared" si="33"/>
        <v>51</v>
      </c>
      <c r="J268" s="46" t="str">
        <f t="shared" si="29"/>
        <v>C+</v>
      </c>
      <c r="K268" s="44" t="str">
        <f t="shared" si="30"/>
        <v>2.50</v>
      </c>
      <c r="L268" s="34" t="str">
        <f t="shared" si="31"/>
        <v>Average</v>
      </c>
    </row>
    <row r="269" spans="1:12" s="21" customFormat="1" x14ac:dyDescent="0.25">
      <c r="A269" s="6" t="s">
        <v>16</v>
      </c>
      <c r="B269" s="225" t="s">
        <v>31</v>
      </c>
      <c r="C269" s="219"/>
      <c r="D269" s="220"/>
      <c r="E269" s="221"/>
      <c r="F269" s="221"/>
      <c r="G269" s="221"/>
      <c r="H269" s="222"/>
      <c r="I269" s="222"/>
      <c r="J269" s="223"/>
      <c r="K269" s="224"/>
      <c r="L269" s="219"/>
    </row>
    <row r="270" spans="1:12" x14ac:dyDescent="0.25">
      <c r="A270" s="1" t="s">
        <v>17</v>
      </c>
      <c r="B270" s="29" t="s">
        <v>41</v>
      </c>
      <c r="C270" s="34">
        <v>13.5</v>
      </c>
      <c r="D270" s="31">
        <v>7</v>
      </c>
      <c r="E270" s="28">
        <v>17</v>
      </c>
      <c r="F270" s="28">
        <v>7</v>
      </c>
      <c r="G270" s="28">
        <f>SUM(Third_Semester_Computer_Network_Lab[[#This Row],[Assignment]:[Final]])</f>
        <v>24</v>
      </c>
      <c r="H270" s="42">
        <f>ROUND(Third_Semester_Computer_Network_Lab[[#This Row],[Ass &amp; Final]],0)</f>
        <v>24</v>
      </c>
      <c r="I270" s="42">
        <f t="shared" si="33"/>
        <v>44.5</v>
      </c>
      <c r="J270" s="46" t="str">
        <f t="shared" si="29"/>
        <v>C</v>
      </c>
      <c r="K270" s="44" t="str">
        <f t="shared" si="30"/>
        <v>2.25</v>
      </c>
      <c r="L270" s="34" t="str">
        <f t="shared" si="31"/>
        <v>Bellow Average</v>
      </c>
    </row>
    <row r="271" spans="1:12" x14ac:dyDescent="0.25">
      <c r="A271" s="1" t="s">
        <v>18</v>
      </c>
      <c r="B271" s="29" t="s">
        <v>42</v>
      </c>
      <c r="C271" s="34">
        <v>24.5</v>
      </c>
      <c r="D271" s="31">
        <v>4</v>
      </c>
      <c r="E271" s="28">
        <v>16.5</v>
      </c>
      <c r="F271" s="28">
        <v>39</v>
      </c>
      <c r="G271" s="28">
        <f>SUM(Third_Semester_Computer_Network_Lab[[#This Row],[Assignment]:[Final]])</f>
        <v>55.5</v>
      </c>
      <c r="H271" s="42">
        <f>ROUND(Third_Semester_Computer_Network_Lab[[#This Row],[Ass &amp; Final]],0)</f>
        <v>56</v>
      </c>
      <c r="I271" s="42">
        <f t="shared" si="33"/>
        <v>84.5</v>
      </c>
      <c r="J271" s="46" t="str">
        <f t="shared" si="29"/>
        <v>A+</v>
      </c>
      <c r="K271" s="44" t="str">
        <f t="shared" si="30"/>
        <v>4.00</v>
      </c>
      <c r="L271" s="34" t="str">
        <f t="shared" si="31"/>
        <v>Outstanding</v>
      </c>
    </row>
    <row r="272" spans="1:12" x14ac:dyDescent="0.25">
      <c r="A272" s="1" t="s">
        <v>19</v>
      </c>
      <c r="B272" s="29" t="s">
        <v>43</v>
      </c>
      <c r="C272" s="34">
        <v>20</v>
      </c>
      <c r="D272" s="31">
        <v>6</v>
      </c>
      <c r="E272" s="28">
        <v>14.5</v>
      </c>
      <c r="F272" s="28">
        <v>39.5</v>
      </c>
      <c r="G272" s="28">
        <f>SUM(Third_Semester_Computer_Network_Lab[[#This Row],[Assignment]:[Final]])</f>
        <v>54</v>
      </c>
      <c r="H272" s="42">
        <f>ROUND(Third_Semester_Computer_Network_Lab[[#This Row],[Ass &amp; Final]],0)</f>
        <v>54</v>
      </c>
      <c r="I272" s="42">
        <f t="shared" si="33"/>
        <v>80</v>
      </c>
      <c r="J272" s="46" t="str">
        <f t="shared" si="29"/>
        <v>A+</v>
      </c>
      <c r="K272" s="44" t="str">
        <f t="shared" si="30"/>
        <v>4.00</v>
      </c>
      <c r="L272" s="34" t="str">
        <f t="shared" si="31"/>
        <v>Outstanding</v>
      </c>
    </row>
    <row r="273" spans="1:12" x14ac:dyDescent="0.25">
      <c r="A273" s="1" t="s">
        <v>23</v>
      </c>
      <c r="B273" s="29" t="s">
        <v>44</v>
      </c>
      <c r="C273" s="34">
        <v>9.5</v>
      </c>
      <c r="D273" s="31">
        <v>5</v>
      </c>
      <c r="E273" s="28">
        <v>10.5</v>
      </c>
      <c r="F273" s="28">
        <v>30.5</v>
      </c>
      <c r="G273" s="28">
        <f>SUM(Third_Semester_Computer_Network_Lab[[#This Row],[Assignment]:[Final]])</f>
        <v>41</v>
      </c>
      <c r="H273" s="42">
        <f>ROUND(Third_Semester_Computer_Network_Lab[[#This Row],[Ass &amp; Final]],0)</f>
        <v>41</v>
      </c>
      <c r="I273" s="42">
        <f t="shared" si="33"/>
        <v>55.5</v>
      </c>
      <c r="J273" s="46" t="str">
        <f t="shared" si="29"/>
        <v>B-</v>
      </c>
      <c r="K273" s="44" t="str">
        <f t="shared" si="30"/>
        <v>2.75</v>
      </c>
      <c r="L273" s="34" t="str">
        <f t="shared" si="31"/>
        <v>Above Average</v>
      </c>
    </row>
    <row r="274" spans="1:12" x14ac:dyDescent="0.25">
      <c r="A274" s="1" t="s">
        <v>24</v>
      </c>
      <c r="B274" s="29" t="s">
        <v>45</v>
      </c>
      <c r="C274" s="34">
        <v>11.5</v>
      </c>
      <c r="D274" s="31">
        <v>5</v>
      </c>
      <c r="E274" s="28">
        <v>20</v>
      </c>
      <c r="F274" s="28">
        <v>22.5</v>
      </c>
      <c r="G274" s="28">
        <f>SUM(Third_Semester_Computer_Network_Lab[[#This Row],[Assignment]:[Final]])</f>
        <v>42.5</v>
      </c>
      <c r="H274" s="42">
        <f>ROUND(Third_Semester_Computer_Network_Lab[[#This Row],[Ass &amp; Final]],0)</f>
        <v>43</v>
      </c>
      <c r="I274" s="42">
        <f t="shared" si="33"/>
        <v>59.5</v>
      </c>
      <c r="J274" s="46" t="str">
        <f t="shared" si="29"/>
        <v>B</v>
      </c>
      <c r="K274" s="44" t="str">
        <f t="shared" si="30"/>
        <v>3.00</v>
      </c>
      <c r="L274" s="34" t="str">
        <f t="shared" si="31"/>
        <v>Satisfactory</v>
      </c>
    </row>
    <row r="275" spans="1:12" x14ac:dyDescent="0.25">
      <c r="A275" s="1" t="s">
        <v>25</v>
      </c>
      <c r="B275" s="29" t="s">
        <v>46</v>
      </c>
      <c r="C275" s="34">
        <v>14</v>
      </c>
      <c r="D275" s="31">
        <v>3</v>
      </c>
      <c r="E275" s="28">
        <v>12</v>
      </c>
      <c r="F275" s="28">
        <v>21</v>
      </c>
      <c r="G275" s="28">
        <f>SUM(Third_Semester_Computer_Network_Lab[[#This Row],[Assignment]:[Final]])</f>
        <v>33</v>
      </c>
      <c r="H275" s="42">
        <f>ROUND(Third_Semester_Computer_Network_Lab[[#This Row],[Ass &amp; Final]],0)</f>
        <v>33</v>
      </c>
      <c r="I275" s="42">
        <f t="shared" si="33"/>
        <v>50</v>
      </c>
      <c r="J275" s="46" t="str">
        <f t="shared" si="29"/>
        <v>C+</v>
      </c>
      <c r="K275" s="44" t="str">
        <f t="shared" si="30"/>
        <v>2.50</v>
      </c>
      <c r="L275" s="34" t="str">
        <f t="shared" si="31"/>
        <v>Average</v>
      </c>
    </row>
    <row r="276" spans="1:12" x14ac:dyDescent="0.25">
      <c r="A276" s="1" t="s">
        <v>26</v>
      </c>
      <c r="B276" s="29" t="s">
        <v>47</v>
      </c>
      <c r="C276" s="34">
        <v>8.5</v>
      </c>
      <c r="D276" s="31">
        <v>3</v>
      </c>
      <c r="E276" s="28">
        <v>5.5</v>
      </c>
      <c r="F276" s="28">
        <v>15</v>
      </c>
      <c r="G276" s="28">
        <f>SUM(Third_Semester_Computer_Network_Lab[[#This Row],[Assignment]:[Final]])</f>
        <v>20.5</v>
      </c>
      <c r="H276" s="42">
        <f>ROUND(Third_Semester_Computer_Network_Lab[[#This Row],[Ass &amp; Final]],0)</f>
        <v>21</v>
      </c>
      <c r="I276" s="42">
        <f t="shared" si="33"/>
        <v>32.5</v>
      </c>
      <c r="J276" s="46" t="str">
        <f t="shared" si="29"/>
        <v>F</v>
      </c>
      <c r="K276" s="44" t="str">
        <f t="shared" si="30"/>
        <v>0.00</v>
      </c>
      <c r="L276" s="34" t="str">
        <f t="shared" si="31"/>
        <v>Fail</v>
      </c>
    </row>
    <row r="277" spans="1:12" x14ac:dyDescent="0.25">
      <c r="A277" s="1" t="s">
        <v>50</v>
      </c>
      <c r="B277" s="29" t="s">
        <v>51</v>
      </c>
      <c r="C277" s="34">
        <v>25</v>
      </c>
      <c r="D277" s="31">
        <v>3</v>
      </c>
      <c r="E277" s="28">
        <v>18.5</v>
      </c>
      <c r="F277" s="28">
        <v>32.5</v>
      </c>
      <c r="G277" s="28">
        <f>SUM(Third_Semester_Computer_Network_Lab[[#This Row],[Assignment]:[Final]])</f>
        <v>51</v>
      </c>
      <c r="H277" s="42">
        <f>ROUND(Third_Semester_Computer_Network_Lab[[#This Row],[Ass &amp; Final]],0)</f>
        <v>51</v>
      </c>
      <c r="I277" s="42">
        <f>SUM(C277,D277,H277)</f>
        <v>79</v>
      </c>
      <c r="J277" s="46" t="str">
        <f t="shared" si="29"/>
        <v>A</v>
      </c>
      <c r="K277" s="44" t="str">
        <f t="shared" si="30"/>
        <v>3.75</v>
      </c>
      <c r="L277" s="34" t="str">
        <f t="shared" si="31"/>
        <v>Excellent</v>
      </c>
    </row>
    <row r="278" spans="1:12" x14ac:dyDescent="0.25">
      <c r="A278" s="1" t="s">
        <v>53</v>
      </c>
      <c r="B278" s="29" t="s">
        <v>54</v>
      </c>
      <c r="C278" s="34">
        <v>10</v>
      </c>
      <c r="D278" s="31">
        <v>2</v>
      </c>
      <c r="E278" s="28">
        <v>6</v>
      </c>
      <c r="F278" s="28">
        <v>37</v>
      </c>
      <c r="G278" s="28">
        <f>SUM(Third_Semester_Computer_Network_Lab[[#This Row],[Assignment]:[Final]])</f>
        <v>43</v>
      </c>
      <c r="H278" s="42">
        <f>ROUND(Third_Semester_Computer_Network_Lab[[#This Row],[Ass &amp; Final]],0)</f>
        <v>43</v>
      </c>
      <c r="I278" s="42">
        <f t="shared" ref="I278:I279" si="34">SUM(C278,D278,H278)</f>
        <v>55</v>
      </c>
      <c r="J278" s="46" t="str">
        <f t="shared" si="29"/>
        <v>B-</v>
      </c>
      <c r="K278" s="44" t="str">
        <f t="shared" si="30"/>
        <v>2.75</v>
      </c>
      <c r="L278" s="34" t="str">
        <f t="shared" si="31"/>
        <v>Above Average</v>
      </c>
    </row>
    <row r="279" spans="1:12" ht="15.75" thickBot="1" x14ac:dyDescent="0.3">
      <c r="A279" s="122" t="s">
        <v>60</v>
      </c>
      <c r="B279" s="123" t="s">
        <v>61</v>
      </c>
      <c r="C279" s="124">
        <v>18</v>
      </c>
      <c r="D279" s="125">
        <v>4</v>
      </c>
      <c r="E279" s="126">
        <v>10</v>
      </c>
      <c r="F279" s="126">
        <v>36</v>
      </c>
      <c r="G279" s="126">
        <f>SUM(Third_Semester_Computer_Network_Lab[[#This Row],[Assignment]:[Final]])</f>
        <v>46</v>
      </c>
      <c r="H279" s="127">
        <f>ROUND(Third_Semester_Computer_Network_Lab[[#This Row],[Ass &amp; Final]],0)</f>
        <v>46</v>
      </c>
      <c r="I279" s="76">
        <f t="shared" si="34"/>
        <v>68</v>
      </c>
      <c r="J279" s="128" t="str">
        <f t="shared" si="29"/>
        <v>B+</v>
      </c>
      <c r="K279" s="129" t="str">
        <f t="shared" si="30"/>
        <v>3.25</v>
      </c>
      <c r="L279" s="124" t="str">
        <f t="shared" si="31"/>
        <v>Good</v>
      </c>
    </row>
    <row r="280" spans="1:12" s="110" customFormat="1" x14ac:dyDescent="0.25"/>
    <row r="281" spans="1:12" s="110" customFormat="1" x14ac:dyDescent="0.25"/>
    <row r="282" spans="1:12" s="110" customFormat="1" x14ac:dyDescent="0.25"/>
    <row r="283" spans="1:12" s="110" customFormat="1" x14ac:dyDescent="0.25"/>
    <row r="284" spans="1:12" s="110" customFormat="1" x14ac:dyDescent="0.25"/>
    <row r="285" spans="1:12" s="110" customFormat="1" x14ac:dyDescent="0.25"/>
    <row r="286" spans="1:12" s="110" customFormat="1" x14ac:dyDescent="0.25"/>
    <row r="295" spans="1:20" ht="27" customHeight="1" x14ac:dyDescent="0.25">
      <c r="A295" s="293" t="s">
        <v>163</v>
      </c>
      <c r="B295" s="293"/>
      <c r="C295" s="56" t="s">
        <v>165</v>
      </c>
      <c r="D295" s="56"/>
      <c r="E295" s="56"/>
      <c r="F295" s="294" t="s">
        <v>398</v>
      </c>
      <c r="G295" s="294"/>
      <c r="H295" s="294"/>
      <c r="I295" s="294"/>
      <c r="J295" s="294"/>
      <c r="K295" s="294"/>
      <c r="L295" s="294"/>
      <c r="M295" s="64" t="s">
        <v>167</v>
      </c>
      <c r="N295" s="65">
        <v>44531</v>
      </c>
      <c r="O295" s="56"/>
      <c r="P295" s="56"/>
      <c r="Q295" s="56"/>
      <c r="R295" s="56"/>
      <c r="S295" s="64" t="s">
        <v>167</v>
      </c>
      <c r="T295" s="65">
        <v>44558</v>
      </c>
    </row>
    <row r="296" spans="1:20" ht="27" customHeight="1" thickBot="1" x14ac:dyDescent="0.3">
      <c r="A296" s="296" t="s">
        <v>164</v>
      </c>
      <c r="B296" s="296"/>
      <c r="C296" s="63" t="s">
        <v>166</v>
      </c>
      <c r="D296" s="63"/>
      <c r="E296" s="62"/>
      <c r="F296" s="295"/>
      <c r="G296" s="295"/>
      <c r="H296" s="295"/>
      <c r="I296" s="295"/>
      <c r="J296" s="295"/>
      <c r="K296" s="295"/>
      <c r="L296" s="295"/>
      <c r="M296" s="72" t="s">
        <v>168</v>
      </c>
      <c r="N296" s="73">
        <v>0.91666666666666663</v>
      </c>
      <c r="O296" s="32"/>
      <c r="P296" s="32"/>
      <c r="Q296" s="32"/>
      <c r="R296" s="32"/>
      <c r="S296" s="61" t="s">
        <v>168</v>
      </c>
      <c r="T296" s="66">
        <v>0.91666666666666663</v>
      </c>
    </row>
    <row r="297" spans="1:20" x14ac:dyDescent="0.25">
      <c r="A297" s="58" t="s">
        <v>0</v>
      </c>
      <c r="B297" s="57" t="s">
        <v>20</v>
      </c>
      <c r="C297" s="103" t="s">
        <v>132</v>
      </c>
      <c r="D297" s="103" t="s">
        <v>133</v>
      </c>
      <c r="E297" s="103" t="s">
        <v>134</v>
      </c>
      <c r="F297" s="98" t="s">
        <v>135</v>
      </c>
      <c r="G297" s="227" t="s">
        <v>136</v>
      </c>
      <c r="H297" s="103" t="s">
        <v>137</v>
      </c>
      <c r="I297" s="103" t="s">
        <v>138</v>
      </c>
      <c r="J297" s="103" t="s">
        <v>139</v>
      </c>
      <c r="K297" s="103" t="s">
        <v>140</v>
      </c>
      <c r="L297" s="74" t="s">
        <v>141</v>
      </c>
      <c r="M297" s="103" t="s">
        <v>143</v>
      </c>
      <c r="N297" s="103" t="s">
        <v>144</v>
      </c>
      <c r="O297" s="98" t="s">
        <v>145</v>
      </c>
      <c r="P297" s="33" t="s">
        <v>146</v>
      </c>
      <c r="Q297" s="75" t="s">
        <v>147</v>
      </c>
      <c r="R297" s="48" t="s">
        <v>148</v>
      </c>
      <c r="S297" s="48" t="s">
        <v>149</v>
      </c>
      <c r="T297" s="60" t="s">
        <v>150</v>
      </c>
    </row>
    <row r="298" spans="1:20" x14ac:dyDescent="0.25">
      <c r="A298" s="15"/>
      <c r="B298" s="49" t="s">
        <v>142</v>
      </c>
      <c r="C298" s="50">
        <v>15</v>
      </c>
      <c r="D298" s="50">
        <v>15</v>
      </c>
      <c r="E298" s="50">
        <v>15</v>
      </c>
      <c r="F298" s="51">
        <v>15</v>
      </c>
      <c r="G298" s="52">
        <v>15</v>
      </c>
      <c r="H298" s="50">
        <v>5</v>
      </c>
      <c r="I298" s="50">
        <v>8</v>
      </c>
      <c r="J298" s="50">
        <v>7</v>
      </c>
      <c r="K298" s="51">
        <v>20</v>
      </c>
      <c r="L298" s="52">
        <v>20</v>
      </c>
      <c r="M298" s="50">
        <v>25</v>
      </c>
      <c r="N298" s="50">
        <v>40</v>
      </c>
      <c r="O298" s="53">
        <v>65</v>
      </c>
      <c r="P298" s="54">
        <v>65</v>
      </c>
      <c r="Q298" s="55">
        <v>100</v>
      </c>
      <c r="R298" s="55" t="s">
        <v>151</v>
      </c>
      <c r="S298" s="54" t="s">
        <v>152</v>
      </c>
      <c r="T298" s="54" t="s">
        <v>153</v>
      </c>
    </row>
    <row r="299" spans="1:20" x14ac:dyDescent="0.25">
      <c r="A299" s="1" t="s">
        <v>57</v>
      </c>
      <c r="B299" s="29" t="s">
        <v>58</v>
      </c>
      <c r="C299" s="28">
        <v>10</v>
      </c>
      <c r="D299" s="28">
        <v>15</v>
      </c>
      <c r="E299" s="28">
        <v>11.333333333333334</v>
      </c>
      <c r="F299" s="28">
        <f>(((SUM(Third_Semester_Discrete_Mathematics[[#This Row],[Quiz 1]:[Quiz 3]]))/SUM($C$63:$E$63))*$F$63)</f>
        <v>12.111111111111112</v>
      </c>
      <c r="G299" s="27">
        <f>ROUND(Third_Semester_Discrete_Mathematics[[#This Row],[Quiz Average]],0)</f>
        <v>12</v>
      </c>
      <c r="H299" s="31">
        <v>4</v>
      </c>
      <c r="I299" s="31">
        <v>8</v>
      </c>
      <c r="J299" s="31">
        <v>7</v>
      </c>
      <c r="K299" s="103">
        <f>SUM(Third_Semester_Discrete_Mathematics[[#This Row],[Assignment]:[Attendance]])</f>
        <v>19</v>
      </c>
      <c r="L299" s="27">
        <f>ROUND(Third_Semester_Discrete_Mathematics[[#This Row],[Total out of APA]],0)</f>
        <v>19</v>
      </c>
      <c r="M299" s="28">
        <v>17</v>
      </c>
      <c r="N299" s="28">
        <v>36</v>
      </c>
      <c r="O299" s="28">
        <f>SUM(Third_Semester_Discrete_Mathematics[[#This Row],[Midterm]:[Final]])</f>
        <v>53</v>
      </c>
      <c r="P299" s="42">
        <f>ROUND(Third_Semester_Discrete_Mathematics[[#This Row],[Mid &amp; Final]],0)</f>
        <v>53</v>
      </c>
      <c r="Q299" s="42">
        <f>SUM(G299,L299,P299)</f>
        <v>84</v>
      </c>
      <c r="R299" s="46" t="str">
        <f>IF(Q299&gt;79,"A+",IF(Q299&gt;74,"A",IF(Q299&gt;69,"A-",IF(Q299&gt;64,"B+",IF(Q299&gt;59,"B",IF(Q299&gt;54,"B-",IF(Q299&gt;49,"C+",IF(Q299&gt;44,"C",IF(Q299&gt;39,"D",IF(Q299&gt;0,"F","N/A"))))))))))</f>
        <v>A+</v>
      </c>
      <c r="S299" s="44" t="str">
        <f>IF(Q299&gt;79,"4.00",IF(Q299&gt;74,"3.75",IF(Q299&gt;69,"3.50",IF(Q299&gt;64,"3.25",IF(Q299&gt;59,"3.00",IF(Q299&gt;54,"2.75",IF(Q299&gt;49,"2.50",IF(Q299&gt;44,"2.25",IF(Q299&gt;39,"2.00",IF(Q299&gt;0,"0.00","N/A"))))))))))</f>
        <v>4.00</v>
      </c>
      <c r="T299" s="34" t="str">
        <f>IF(Q299&gt;79,"Outstanding",IF(Q299&gt;74,"Excellent",IF(Q299&gt;69,"Very Good",IF(Q299&gt;64,"Good",IF(Q299&gt;59,"Satisfactory",IF(Q299&gt;54,"Above Average",IF(Q299&gt;49,"Average",IF(Q299&gt;44,"Bellow Average",IF(Q299&gt;39,"Pass",IF(Q299&gt;0,"Fail","N/A"))))))))))</f>
        <v>Outstanding</v>
      </c>
    </row>
    <row r="300" spans="1:20" x14ac:dyDescent="0.25">
      <c r="A300" s="1" t="s">
        <v>56</v>
      </c>
      <c r="B300" s="29" t="s">
        <v>59</v>
      </c>
      <c r="C300" s="28">
        <v>13.666666666666666</v>
      </c>
      <c r="D300" s="28">
        <v>14.666666666666666</v>
      </c>
      <c r="E300" s="28">
        <v>13</v>
      </c>
      <c r="F300" s="28">
        <f>(((SUM(Third_Semester_Discrete_Mathematics[[#This Row],[Quiz 1]:[Quiz 3]]))/SUM($C$63:$E$63))*$F$63)</f>
        <v>13.777777777777777</v>
      </c>
      <c r="G300" s="27">
        <f>ROUND(Third_Semester_Discrete_Mathematics[[#This Row],[Quiz Average]],0)</f>
        <v>14</v>
      </c>
      <c r="H300" s="31">
        <v>4</v>
      </c>
      <c r="I300" s="31">
        <v>4</v>
      </c>
      <c r="J300" s="31">
        <v>4</v>
      </c>
      <c r="K300" s="103">
        <f>SUM(Third_Semester_Discrete_Mathematics[[#This Row],[Assignment]:[Attendance]])</f>
        <v>12</v>
      </c>
      <c r="L300" s="27">
        <f>ROUND(Third_Semester_Discrete_Mathematics[[#This Row],[Total out of APA]],0)</f>
        <v>12</v>
      </c>
      <c r="M300" s="28">
        <v>20.5</v>
      </c>
      <c r="N300" s="28">
        <v>27.5</v>
      </c>
      <c r="O300" s="28">
        <f>SUM(Third_Semester_Discrete_Mathematics[[#This Row],[Midterm]:[Final]])</f>
        <v>48</v>
      </c>
      <c r="P300" s="42">
        <f>ROUND(Third_Semester_Discrete_Mathematics[[#This Row],[Mid &amp; Final]],0)</f>
        <v>48</v>
      </c>
      <c r="Q300" s="42">
        <f t="shared" ref="Q300:Q304" si="35">SUM(G300,L300,P300)</f>
        <v>74</v>
      </c>
      <c r="R300" s="46" t="str">
        <f t="shared" ref="R300:R304" si="36">IF(Q300&gt;79,"A+",IF(Q300&gt;74,"A",IF(Q300&gt;69,"A-",IF(Q300&gt;64,"B+",IF(Q300&gt;59,"B",IF(Q300&gt;54,"B-",IF(Q300&gt;49,"C+",IF(Q300&gt;44,"C",IF(Q300&gt;39,"D",IF(Q300&gt;0,"F","N/A"))))))))))</f>
        <v>A-</v>
      </c>
      <c r="S300" s="44" t="str">
        <f t="shared" ref="S300:S304" si="37">IF(Q300&gt;79,"4.00",IF(Q300&gt;74,"3.75",IF(Q300&gt;69,"3.50",IF(Q300&gt;64,"3.25",IF(Q300&gt;59,"3.00",IF(Q300&gt;54,"2.75",IF(Q300&gt;49,"2.50",IF(Q300&gt;44,"2.25",IF(Q300&gt;39,"2.00",IF(Q300&gt;0,"0.00","N/A"))))))))))</f>
        <v>3.50</v>
      </c>
      <c r="T300" s="34" t="str">
        <f t="shared" ref="T300:T304" si="38">IF(Q300&gt;79,"Outstanding",IF(Q300&gt;74,"Excellent",IF(Q300&gt;69,"Very Good",IF(Q300&gt;64,"Good",IF(Q300&gt;59,"Satisfactory",IF(Q300&gt;54,"Above Average",IF(Q300&gt;49,"Average",IF(Q300&gt;44,"Bellow Average",IF(Q300&gt;39,"Pass",IF(Q300&gt;0,"Fail","N/A"))))))))))</f>
        <v>Very Good</v>
      </c>
    </row>
    <row r="301" spans="1:20" x14ac:dyDescent="0.25">
      <c r="A301" s="1" t="s">
        <v>1</v>
      </c>
      <c r="B301" s="29" t="s">
        <v>27</v>
      </c>
      <c r="C301" s="28">
        <v>13</v>
      </c>
      <c r="D301" s="28">
        <v>11</v>
      </c>
      <c r="E301" s="28">
        <v>13</v>
      </c>
      <c r="F301" s="28">
        <f>(((SUM(Third_Semester_Discrete_Mathematics[[#This Row],[Quiz 1]:[Quiz 3]]))/SUM($C$63:$E$63))*$F$63)</f>
        <v>12.333333333333332</v>
      </c>
      <c r="G301" s="27">
        <f>ROUND(Third_Semester_Discrete_Mathematics[[#This Row],[Quiz Average]],0)</f>
        <v>12</v>
      </c>
      <c r="H301" s="31">
        <v>4</v>
      </c>
      <c r="I301" s="31">
        <v>2</v>
      </c>
      <c r="J301" s="31">
        <v>5</v>
      </c>
      <c r="K301" s="103">
        <f>SUM(Third_Semester_Discrete_Mathematics[[#This Row],[Assignment]:[Attendance]])</f>
        <v>11</v>
      </c>
      <c r="L301" s="27">
        <f>ROUND(Third_Semester_Discrete_Mathematics[[#This Row],[Total out of APA]],0)</f>
        <v>11</v>
      </c>
      <c r="M301" s="28">
        <v>14</v>
      </c>
      <c r="N301" s="28">
        <v>27.5</v>
      </c>
      <c r="O301" s="28">
        <f>SUM(Third_Semester_Discrete_Mathematics[[#This Row],[Midterm]:[Final]])</f>
        <v>41.5</v>
      </c>
      <c r="P301" s="42">
        <f>ROUND(Third_Semester_Discrete_Mathematics[[#This Row],[Mid &amp; Final]],0)</f>
        <v>42</v>
      </c>
      <c r="Q301" s="42">
        <f t="shared" si="35"/>
        <v>65</v>
      </c>
      <c r="R301" s="46" t="str">
        <f t="shared" si="36"/>
        <v>B+</v>
      </c>
      <c r="S301" s="44" t="str">
        <f t="shared" si="37"/>
        <v>3.25</v>
      </c>
      <c r="T301" s="34" t="str">
        <f t="shared" si="38"/>
        <v>Good</v>
      </c>
    </row>
    <row r="302" spans="1:20" x14ac:dyDescent="0.25">
      <c r="A302" s="1" t="s">
        <v>2</v>
      </c>
      <c r="B302" s="29" t="s">
        <v>28</v>
      </c>
      <c r="C302" s="28">
        <v>13</v>
      </c>
      <c r="D302" s="28">
        <v>10.333333333333334</v>
      </c>
      <c r="E302" s="28">
        <v>12.333333333333334</v>
      </c>
      <c r="F302" s="28">
        <f>(((SUM(Third_Semester_Discrete_Mathematics[[#This Row],[Quiz 1]:[Quiz 3]]))/SUM($C$63:$E$63))*$F$63)</f>
        <v>11.888888888888891</v>
      </c>
      <c r="G302" s="27">
        <f>ROUND(Third_Semester_Discrete_Mathematics[[#This Row],[Quiz Average]],0)</f>
        <v>12</v>
      </c>
      <c r="H302" s="31">
        <v>4</v>
      </c>
      <c r="I302" s="31">
        <v>4</v>
      </c>
      <c r="J302" s="31">
        <v>6</v>
      </c>
      <c r="K302" s="103">
        <f>SUM(Third_Semester_Discrete_Mathematics[[#This Row],[Assignment]:[Attendance]])</f>
        <v>14</v>
      </c>
      <c r="L302" s="27">
        <f>ROUND(Third_Semester_Discrete_Mathematics[[#This Row],[Total out of APA]],0)</f>
        <v>14</v>
      </c>
      <c r="M302" s="28">
        <v>18.5</v>
      </c>
      <c r="N302" s="28">
        <v>29</v>
      </c>
      <c r="O302" s="28">
        <f>SUM(Third_Semester_Discrete_Mathematics[[#This Row],[Midterm]:[Final]])</f>
        <v>47.5</v>
      </c>
      <c r="P302" s="42">
        <f>ROUND(Third_Semester_Discrete_Mathematics[[#This Row],[Mid &amp; Final]],0)</f>
        <v>48</v>
      </c>
      <c r="Q302" s="42">
        <f t="shared" si="35"/>
        <v>74</v>
      </c>
      <c r="R302" s="46" t="str">
        <f t="shared" si="36"/>
        <v>A-</v>
      </c>
      <c r="S302" s="44" t="str">
        <f t="shared" si="37"/>
        <v>3.50</v>
      </c>
      <c r="T302" s="34" t="str">
        <f t="shared" si="38"/>
        <v>Very Good</v>
      </c>
    </row>
    <row r="303" spans="1:20" x14ac:dyDescent="0.25">
      <c r="A303" s="1" t="s">
        <v>3</v>
      </c>
      <c r="B303" s="29" t="s">
        <v>29</v>
      </c>
      <c r="C303" s="28">
        <v>15</v>
      </c>
      <c r="D303" s="28">
        <v>13</v>
      </c>
      <c r="E303" s="28">
        <v>12</v>
      </c>
      <c r="F303" s="28">
        <f>(((SUM(Third_Semester_Discrete_Mathematics[[#This Row],[Quiz 1]:[Quiz 3]]))/SUM($C$63:$E$63))*$F$63)</f>
        <v>13.333333333333332</v>
      </c>
      <c r="G303" s="27">
        <f>ROUND(Third_Semester_Discrete_Mathematics[[#This Row],[Quiz Average]],0)</f>
        <v>13</v>
      </c>
      <c r="H303" s="31">
        <v>3</v>
      </c>
      <c r="I303" s="31">
        <v>4</v>
      </c>
      <c r="J303" s="31">
        <v>3</v>
      </c>
      <c r="K303" s="103">
        <f>SUM(Third_Semester_Discrete_Mathematics[[#This Row],[Assignment]:[Attendance]])</f>
        <v>10</v>
      </c>
      <c r="L303" s="27">
        <f>ROUND(Third_Semester_Discrete_Mathematics[[#This Row],[Total out of APA]],0)</f>
        <v>10</v>
      </c>
      <c r="M303" s="28">
        <v>23.5</v>
      </c>
      <c r="N303" s="28">
        <v>33.5</v>
      </c>
      <c r="O303" s="28">
        <f>SUM(Third_Semester_Discrete_Mathematics[[#This Row],[Midterm]:[Final]])</f>
        <v>57</v>
      </c>
      <c r="P303" s="42">
        <f>ROUND(Third_Semester_Discrete_Mathematics[[#This Row],[Mid &amp; Final]],0)</f>
        <v>57</v>
      </c>
      <c r="Q303" s="42">
        <f t="shared" si="35"/>
        <v>80</v>
      </c>
      <c r="R303" s="46" t="str">
        <f t="shared" si="36"/>
        <v>A+</v>
      </c>
      <c r="S303" s="44" t="str">
        <f t="shared" si="37"/>
        <v>4.00</v>
      </c>
      <c r="T303" s="34" t="str">
        <f t="shared" si="38"/>
        <v>Outstanding</v>
      </c>
    </row>
    <row r="304" spans="1:20" x14ac:dyDescent="0.25">
      <c r="A304" s="1" t="s">
        <v>4</v>
      </c>
      <c r="B304" s="29" t="s">
        <v>30</v>
      </c>
      <c r="C304" s="28">
        <v>12.666666666666666</v>
      </c>
      <c r="D304" s="28">
        <v>13</v>
      </c>
      <c r="E304" s="28">
        <v>13</v>
      </c>
      <c r="F304" s="28">
        <f>(((SUM(Third_Semester_Discrete_Mathematics[[#This Row],[Quiz 1]:[Quiz 3]]))/SUM($C$63:$E$63))*$F$63)</f>
        <v>12.888888888888888</v>
      </c>
      <c r="G304" s="27">
        <f>ROUND(Third_Semester_Discrete_Mathematics[[#This Row],[Quiz Average]],0)</f>
        <v>13</v>
      </c>
      <c r="H304" s="31">
        <v>4</v>
      </c>
      <c r="I304" s="31">
        <v>3</v>
      </c>
      <c r="J304" s="31">
        <v>2</v>
      </c>
      <c r="K304" s="103">
        <f>SUM(Third_Semester_Discrete_Mathematics[[#This Row],[Assignment]:[Attendance]])</f>
        <v>9</v>
      </c>
      <c r="L304" s="27">
        <f>ROUND(Third_Semester_Discrete_Mathematics[[#This Row],[Total out of APA]],0)</f>
        <v>9</v>
      </c>
      <c r="M304" s="28">
        <v>24</v>
      </c>
      <c r="N304" s="28">
        <v>34.5</v>
      </c>
      <c r="O304" s="28">
        <f>SUM(Third_Semester_Discrete_Mathematics[[#This Row],[Midterm]:[Final]])</f>
        <v>58.5</v>
      </c>
      <c r="P304" s="42">
        <f>ROUND(Third_Semester_Discrete_Mathematics[[#This Row],[Mid &amp; Final]],0)</f>
        <v>59</v>
      </c>
      <c r="Q304" s="42">
        <f t="shared" si="35"/>
        <v>81</v>
      </c>
      <c r="R304" s="46" t="str">
        <f t="shared" si="36"/>
        <v>A+</v>
      </c>
      <c r="S304" s="44" t="str">
        <f t="shared" si="37"/>
        <v>4.00</v>
      </c>
      <c r="T304" s="34" t="str">
        <f t="shared" si="38"/>
        <v>Outstanding</v>
      </c>
    </row>
    <row r="305" spans="1:20" x14ac:dyDescent="0.25">
      <c r="A305" s="6" t="s">
        <v>5</v>
      </c>
      <c r="B305" s="225" t="s">
        <v>31</v>
      </c>
      <c r="C305" s="221"/>
      <c r="D305" s="221"/>
      <c r="E305" s="221"/>
      <c r="F305" s="221"/>
      <c r="G305" s="226"/>
      <c r="H305" s="220"/>
      <c r="I305" s="220"/>
      <c r="J305" s="220"/>
      <c r="K305" s="4"/>
      <c r="L305" s="226"/>
      <c r="M305" s="221"/>
      <c r="N305" s="221"/>
      <c r="O305" s="221"/>
      <c r="P305" s="222"/>
      <c r="Q305" s="222"/>
      <c r="R305" s="223"/>
      <c r="S305" s="224"/>
      <c r="T305" s="219"/>
    </row>
    <row r="306" spans="1:20" x14ac:dyDescent="0.25">
      <c r="A306" s="1" t="s">
        <v>6</v>
      </c>
      <c r="B306" s="29" t="s">
        <v>32</v>
      </c>
      <c r="C306" s="28">
        <v>12.666666666666666</v>
      </c>
      <c r="D306" s="28">
        <v>12.333333333333334</v>
      </c>
      <c r="E306" s="28">
        <v>11</v>
      </c>
      <c r="F306" s="28">
        <f>(((SUM(Third_Semester_Discrete_Mathematics[[#This Row],[Quiz 1]:[Quiz 3]]))/SUM($C$63:$E$63))*$F$63)</f>
        <v>12</v>
      </c>
      <c r="G306" s="27">
        <f>ROUND(Third_Semester_Discrete_Mathematics[[#This Row],[Quiz Average]],0)</f>
        <v>12</v>
      </c>
      <c r="H306" s="31">
        <v>3</v>
      </c>
      <c r="I306" s="31">
        <v>5</v>
      </c>
      <c r="J306" s="31">
        <v>3</v>
      </c>
      <c r="K306" s="103">
        <f>SUM(Third_Semester_Discrete_Mathematics[[#This Row],[Assignment]:[Attendance]])</f>
        <v>11</v>
      </c>
      <c r="L306" s="27">
        <f>ROUND(Third_Semester_Discrete_Mathematics[[#This Row],[Total out of APA]],0)</f>
        <v>11</v>
      </c>
      <c r="M306" s="28">
        <v>16.5</v>
      </c>
      <c r="N306" s="28">
        <v>37.5</v>
      </c>
      <c r="O306" s="28">
        <f>SUM(Third_Semester_Discrete_Mathematics[[#This Row],[Midterm]:[Final]])</f>
        <v>54</v>
      </c>
      <c r="P306" s="42">
        <f>ROUND(Third_Semester_Discrete_Mathematics[[#This Row],[Mid &amp; Final]],0)</f>
        <v>54</v>
      </c>
      <c r="Q306" s="42">
        <f t="shared" ref="Q306:Q310" si="39">SUM(G306,L306,P306)</f>
        <v>77</v>
      </c>
      <c r="R306" s="46" t="str">
        <f t="shared" ref="R306:R310" si="40">IF(Q306&gt;79,"A+",IF(Q306&gt;74,"A",IF(Q306&gt;69,"A-",IF(Q306&gt;64,"B+",IF(Q306&gt;59,"B",IF(Q306&gt;54,"B-",IF(Q306&gt;49,"C+",IF(Q306&gt;44,"C",IF(Q306&gt;39,"D",IF(Q306&gt;0,"F","N/A"))))))))))</f>
        <v>A</v>
      </c>
      <c r="S306" s="44" t="str">
        <f t="shared" ref="S306:S310" si="41">IF(Q306&gt;79,"4.00",IF(Q306&gt;74,"3.75",IF(Q306&gt;69,"3.50",IF(Q306&gt;64,"3.25",IF(Q306&gt;59,"3.00",IF(Q306&gt;54,"2.75",IF(Q306&gt;49,"2.50",IF(Q306&gt;44,"2.25",IF(Q306&gt;39,"2.00",IF(Q306&gt;0,"0.00","N/A"))))))))))</f>
        <v>3.75</v>
      </c>
      <c r="T306" s="34" t="str">
        <f t="shared" ref="T306:T310" si="42">IF(Q306&gt;79,"Outstanding",IF(Q306&gt;74,"Excellent",IF(Q306&gt;69,"Very Good",IF(Q306&gt;64,"Good",IF(Q306&gt;59,"Satisfactory",IF(Q306&gt;54,"Above Average",IF(Q306&gt;49,"Average",IF(Q306&gt;44,"Bellow Average",IF(Q306&gt;39,"Pass",IF(Q306&gt;0,"Fail","N/A"))))))))))</f>
        <v>Excellent</v>
      </c>
    </row>
    <row r="307" spans="1:20" x14ac:dyDescent="0.25">
      <c r="A307" s="1" t="s">
        <v>7</v>
      </c>
      <c r="B307" s="29" t="s">
        <v>33</v>
      </c>
      <c r="C307" s="28">
        <v>11.666666666666666</v>
      </c>
      <c r="D307" s="28">
        <v>12.666666666666666</v>
      </c>
      <c r="E307" s="28">
        <v>10.333333333333334</v>
      </c>
      <c r="F307" s="28">
        <f>(((SUM(Third_Semester_Discrete_Mathematics[[#This Row],[Quiz 1]:[Quiz 3]]))/SUM($C$63:$E$63))*$F$63)</f>
        <v>11.555555555555555</v>
      </c>
      <c r="G307" s="27">
        <f>ROUND(Third_Semester_Discrete_Mathematics[[#This Row],[Quiz Average]],0)</f>
        <v>12</v>
      </c>
      <c r="H307" s="31">
        <v>2</v>
      </c>
      <c r="I307" s="31">
        <v>6</v>
      </c>
      <c r="J307" s="31">
        <v>3</v>
      </c>
      <c r="K307" s="103">
        <f>SUM(Third_Semester_Discrete_Mathematics[[#This Row],[Assignment]:[Attendance]])</f>
        <v>11</v>
      </c>
      <c r="L307" s="27">
        <f>ROUND(Third_Semester_Discrete_Mathematics[[#This Row],[Total out of APA]],0)</f>
        <v>11</v>
      </c>
      <c r="M307" s="28">
        <v>20</v>
      </c>
      <c r="N307" s="28">
        <v>28.5</v>
      </c>
      <c r="O307" s="28">
        <f>SUM(Third_Semester_Discrete_Mathematics[[#This Row],[Midterm]:[Final]])</f>
        <v>48.5</v>
      </c>
      <c r="P307" s="42">
        <f>ROUND(Third_Semester_Discrete_Mathematics[[#This Row],[Mid &amp; Final]],0)</f>
        <v>49</v>
      </c>
      <c r="Q307" s="42">
        <f t="shared" si="39"/>
        <v>72</v>
      </c>
      <c r="R307" s="46" t="str">
        <f t="shared" si="40"/>
        <v>A-</v>
      </c>
      <c r="S307" s="44" t="str">
        <f t="shared" si="41"/>
        <v>3.50</v>
      </c>
      <c r="T307" s="34" t="str">
        <f t="shared" si="42"/>
        <v>Very Good</v>
      </c>
    </row>
    <row r="308" spans="1:20" x14ac:dyDescent="0.25">
      <c r="A308" s="1" t="s">
        <v>8</v>
      </c>
      <c r="B308" s="29" t="s">
        <v>34</v>
      </c>
      <c r="C308" s="28">
        <v>11</v>
      </c>
      <c r="D308" s="28">
        <v>11.666666666666666</v>
      </c>
      <c r="E308" s="28">
        <v>15</v>
      </c>
      <c r="F308" s="28">
        <f>(((SUM(Third_Semester_Discrete_Mathematics[[#This Row],[Quiz 1]:[Quiz 3]]))/SUM($C$63:$E$63))*$F$63)</f>
        <v>12.555555555555555</v>
      </c>
      <c r="G308" s="27">
        <f>ROUND(Third_Semester_Discrete_Mathematics[[#This Row],[Quiz Average]],0)</f>
        <v>13</v>
      </c>
      <c r="H308" s="31">
        <v>3</v>
      </c>
      <c r="I308" s="31">
        <v>3</v>
      </c>
      <c r="J308" s="31">
        <v>6</v>
      </c>
      <c r="K308" s="103">
        <f>SUM(Third_Semester_Discrete_Mathematics[[#This Row],[Assignment]:[Attendance]])</f>
        <v>12</v>
      </c>
      <c r="L308" s="27">
        <f>ROUND(Third_Semester_Discrete_Mathematics[[#This Row],[Total out of APA]],0)</f>
        <v>12</v>
      </c>
      <c r="M308" s="28">
        <v>24.5</v>
      </c>
      <c r="N308" s="28">
        <v>27</v>
      </c>
      <c r="O308" s="28">
        <f>SUM(Third_Semester_Discrete_Mathematics[[#This Row],[Midterm]:[Final]])</f>
        <v>51.5</v>
      </c>
      <c r="P308" s="42">
        <f>ROUND(Third_Semester_Discrete_Mathematics[[#This Row],[Mid &amp; Final]],0)</f>
        <v>52</v>
      </c>
      <c r="Q308" s="42">
        <f t="shared" si="39"/>
        <v>77</v>
      </c>
      <c r="R308" s="46" t="str">
        <f t="shared" si="40"/>
        <v>A</v>
      </c>
      <c r="S308" s="44" t="str">
        <f t="shared" si="41"/>
        <v>3.75</v>
      </c>
      <c r="T308" s="34" t="str">
        <f t="shared" si="42"/>
        <v>Excellent</v>
      </c>
    </row>
    <row r="309" spans="1:20" x14ac:dyDescent="0.25">
      <c r="A309" s="1" t="s">
        <v>9</v>
      </c>
      <c r="B309" s="29" t="s">
        <v>35</v>
      </c>
      <c r="C309" s="28">
        <v>11</v>
      </c>
      <c r="D309" s="28">
        <v>11.666666666666666</v>
      </c>
      <c r="E309" s="28">
        <v>14.666666666666666</v>
      </c>
      <c r="F309" s="28">
        <f>(((SUM(Third_Semester_Discrete_Mathematics[[#This Row],[Quiz 1]:[Quiz 3]]))/SUM($C$63:$E$63))*$F$63)</f>
        <v>12.444444444444443</v>
      </c>
      <c r="G309" s="27">
        <f>ROUND(Third_Semester_Discrete_Mathematics[[#This Row],[Quiz Average]],0)</f>
        <v>12</v>
      </c>
      <c r="H309" s="31">
        <v>2</v>
      </c>
      <c r="I309" s="31">
        <v>6</v>
      </c>
      <c r="J309" s="31">
        <v>6</v>
      </c>
      <c r="K309" s="103">
        <f>SUM(Third_Semester_Discrete_Mathematics[[#This Row],[Assignment]:[Attendance]])</f>
        <v>14</v>
      </c>
      <c r="L309" s="27">
        <f>ROUND(Third_Semester_Discrete_Mathematics[[#This Row],[Total out of APA]],0)</f>
        <v>14</v>
      </c>
      <c r="M309" s="28">
        <v>10.5</v>
      </c>
      <c r="N309" s="28">
        <v>39</v>
      </c>
      <c r="O309" s="28">
        <f>SUM(Third_Semester_Discrete_Mathematics[[#This Row],[Midterm]:[Final]])</f>
        <v>49.5</v>
      </c>
      <c r="P309" s="42">
        <f>ROUND(Third_Semester_Discrete_Mathematics[[#This Row],[Mid &amp; Final]],0)</f>
        <v>50</v>
      </c>
      <c r="Q309" s="42">
        <f t="shared" si="39"/>
        <v>76</v>
      </c>
      <c r="R309" s="46" t="str">
        <f t="shared" si="40"/>
        <v>A</v>
      </c>
      <c r="S309" s="44" t="str">
        <f t="shared" si="41"/>
        <v>3.75</v>
      </c>
      <c r="T309" s="34" t="str">
        <f t="shared" si="42"/>
        <v>Excellent</v>
      </c>
    </row>
    <row r="310" spans="1:20" x14ac:dyDescent="0.25">
      <c r="A310" s="1" t="s">
        <v>10</v>
      </c>
      <c r="B310" s="29" t="s">
        <v>36</v>
      </c>
      <c r="C310" s="28">
        <v>11.333333333333334</v>
      </c>
      <c r="D310" s="28">
        <v>12.666666666666666</v>
      </c>
      <c r="E310" s="28">
        <v>11</v>
      </c>
      <c r="F310" s="28">
        <f>(((SUM(Third_Semester_Discrete_Mathematics[[#This Row],[Quiz 1]:[Quiz 3]]))/SUM($C$63:$E$63))*$F$63)</f>
        <v>11.666666666666666</v>
      </c>
      <c r="G310" s="27">
        <f>ROUND(Third_Semester_Discrete_Mathematics[[#This Row],[Quiz Average]],0)</f>
        <v>12</v>
      </c>
      <c r="H310" s="31">
        <v>2</v>
      </c>
      <c r="I310" s="31">
        <v>5</v>
      </c>
      <c r="J310" s="31">
        <v>6</v>
      </c>
      <c r="K310" s="103">
        <f>SUM(Third_Semester_Discrete_Mathematics[[#This Row],[Assignment]:[Attendance]])</f>
        <v>13</v>
      </c>
      <c r="L310" s="27">
        <f>ROUND(Third_Semester_Discrete_Mathematics[[#This Row],[Total out of APA]],0)</f>
        <v>13</v>
      </c>
      <c r="M310" s="28">
        <v>20.5</v>
      </c>
      <c r="N310" s="28">
        <v>29.5</v>
      </c>
      <c r="O310" s="28">
        <f>SUM(Third_Semester_Discrete_Mathematics[[#This Row],[Midterm]:[Final]])</f>
        <v>50</v>
      </c>
      <c r="P310" s="42">
        <f>ROUND(Third_Semester_Discrete_Mathematics[[#This Row],[Mid &amp; Final]],0)</f>
        <v>50</v>
      </c>
      <c r="Q310" s="42">
        <f t="shared" si="39"/>
        <v>75</v>
      </c>
      <c r="R310" s="46" t="str">
        <f t="shared" si="40"/>
        <v>A</v>
      </c>
      <c r="S310" s="44" t="str">
        <f t="shared" si="41"/>
        <v>3.75</v>
      </c>
      <c r="T310" s="34" t="str">
        <f t="shared" si="42"/>
        <v>Excellent</v>
      </c>
    </row>
    <row r="311" spans="1:20" x14ac:dyDescent="0.25">
      <c r="A311" s="6" t="s">
        <v>11</v>
      </c>
      <c r="B311" s="225" t="s">
        <v>31</v>
      </c>
      <c r="C311" s="221"/>
      <c r="D311" s="221"/>
      <c r="E311" s="221"/>
      <c r="F311" s="221"/>
      <c r="G311" s="226"/>
      <c r="H311" s="220"/>
      <c r="I311" s="220"/>
      <c r="J311" s="220"/>
      <c r="K311" s="4"/>
      <c r="L311" s="226"/>
      <c r="M311" s="221"/>
      <c r="N311" s="221"/>
      <c r="O311" s="221"/>
      <c r="P311" s="222"/>
      <c r="Q311" s="222"/>
      <c r="R311" s="223"/>
      <c r="S311" s="224"/>
      <c r="T311" s="219"/>
    </row>
    <row r="312" spans="1:20" x14ac:dyDescent="0.25">
      <c r="A312" s="1" t="s">
        <v>12</v>
      </c>
      <c r="B312" s="29" t="s">
        <v>37</v>
      </c>
      <c r="C312" s="28">
        <v>14</v>
      </c>
      <c r="D312" s="28">
        <v>10.333333333333334</v>
      </c>
      <c r="E312" s="28">
        <v>13.666666666666666</v>
      </c>
      <c r="F312" s="28">
        <f>(((SUM(Third_Semester_Discrete_Mathematics[[#This Row],[Quiz 1]:[Quiz 3]]))/SUM($C$63:$E$63))*$F$63)</f>
        <v>12.666666666666666</v>
      </c>
      <c r="G312" s="27">
        <f>ROUND(Third_Semester_Discrete_Mathematics[[#This Row],[Quiz Average]],0)</f>
        <v>13</v>
      </c>
      <c r="H312" s="31">
        <v>2</v>
      </c>
      <c r="I312" s="31">
        <v>5</v>
      </c>
      <c r="J312" s="31">
        <v>5</v>
      </c>
      <c r="K312" s="103">
        <f>SUM(Third_Semester_Discrete_Mathematics[[#This Row],[Assignment]:[Attendance]])</f>
        <v>12</v>
      </c>
      <c r="L312" s="27">
        <f>ROUND(Third_Semester_Discrete_Mathematics[[#This Row],[Total out of APA]],0)</f>
        <v>12</v>
      </c>
      <c r="M312" s="28">
        <v>11</v>
      </c>
      <c r="N312" s="28">
        <v>30</v>
      </c>
      <c r="O312" s="28">
        <f>SUM(Third_Semester_Discrete_Mathematics[[#This Row],[Midterm]:[Final]])</f>
        <v>41</v>
      </c>
      <c r="P312" s="42">
        <f>ROUND(Third_Semester_Discrete_Mathematics[[#This Row],[Mid &amp; Final]],0)</f>
        <v>41</v>
      </c>
      <c r="Q312" s="42">
        <f t="shared" ref="Q312:Q315" si="43">SUM(G312,L312,P312)</f>
        <v>66</v>
      </c>
      <c r="R312" s="46" t="str">
        <f t="shared" ref="R312:R315" si="44">IF(Q312&gt;79,"A+",IF(Q312&gt;74,"A",IF(Q312&gt;69,"A-",IF(Q312&gt;64,"B+",IF(Q312&gt;59,"B",IF(Q312&gt;54,"B-",IF(Q312&gt;49,"C+",IF(Q312&gt;44,"C",IF(Q312&gt;39,"D",IF(Q312&gt;0,"F","N/A"))))))))))</f>
        <v>B+</v>
      </c>
      <c r="S312" s="44" t="str">
        <f t="shared" ref="S312:S315" si="45">IF(Q312&gt;79,"4.00",IF(Q312&gt;74,"3.75",IF(Q312&gt;69,"3.50",IF(Q312&gt;64,"3.25",IF(Q312&gt;59,"3.00",IF(Q312&gt;54,"2.75",IF(Q312&gt;49,"2.50",IF(Q312&gt;44,"2.25",IF(Q312&gt;39,"2.00",IF(Q312&gt;0,"0.00","N/A"))))))))))</f>
        <v>3.25</v>
      </c>
      <c r="T312" s="34" t="str">
        <f t="shared" ref="T312:T315" si="46">IF(Q312&gt;79,"Outstanding",IF(Q312&gt;74,"Excellent",IF(Q312&gt;69,"Very Good",IF(Q312&gt;64,"Good",IF(Q312&gt;59,"Satisfactory",IF(Q312&gt;54,"Above Average",IF(Q312&gt;49,"Average",IF(Q312&gt;44,"Bellow Average",IF(Q312&gt;39,"Pass",IF(Q312&gt;0,"Fail","N/A"))))))))))</f>
        <v>Good</v>
      </c>
    </row>
    <row r="313" spans="1:20" x14ac:dyDescent="0.25">
      <c r="A313" s="1" t="s">
        <v>13</v>
      </c>
      <c r="B313" s="29" t="s">
        <v>38</v>
      </c>
      <c r="C313" s="28">
        <v>13</v>
      </c>
      <c r="D313" s="28">
        <v>10.333333333333334</v>
      </c>
      <c r="E313" s="28">
        <v>11</v>
      </c>
      <c r="F313" s="28">
        <f>(((SUM(Third_Semester_Discrete_Mathematics[[#This Row],[Quiz 1]:[Quiz 3]]))/SUM($C$63:$E$63))*$F$63)</f>
        <v>11.444444444444446</v>
      </c>
      <c r="G313" s="27">
        <f>ROUND(Third_Semester_Discrete_Mathematics[[#This Row],[Quiz Average]],0)</f>
        <v>11</v>
      </c>
      <c r="H313" s="31">
        <v>5</v>
      </c>
      <c r="I313" s="31">
        <v>4</v>
      </c>
      <c r="J313" s="31">
        <v>5</v>
      </c>
      <c r="K313" s="103">
        <f>SUM(Third_Semester_Discrete_Mathematics[[#This Row],[Assignment]:[Attendance]])</f>
        <v>14</v>
      </c>
      <c r="L313" s="27">
        <f>ROUND(Third_Semester_Discrete_Mathematics[[#This Row],[Total out of APA]],0)</f>
        <v>14</v>
      </c>
      <c r="M313" s="28">
        <v>16</v>
      </c>
      <c r="N313" s="28">
        <v>29</v>
      </c>
      <c r="O313" s="28">
        <f>SUM(Third_Semester_Discrete_Mathematics[[#This Row],[Midterm]:[Final]])</f>
        <v>45</v>
      </c>
      <c r="P313" s="42">
        <f>ROUND(Third_Semester_Discrete_Mathematics[[#This Row],[Mid &amp; Final]],0)</f>
        <v>45</v>
      </c>
      <c r="Q313" s="42">
        <f t="shared" si="43"/>
        <v>70</v>
      </c>
      <c r="R313" s="46" t="str">
        <f t="shared" si="44"/>
        <v>A-</v>
      </c>
      <c r="S313" s="44" t="str">
        <f t="shared" si="45"/>
        <v>3.50</v>
      </c>
      <c r="T313" s="34" t="str">
        <f t="shared" si="46"/>
        <v>Very Good</v>
      </c>
    </row>
    <row r="314" spans="1:20" x14ac:dyDescent="0.25">
      <c r="A314" s="1" t="s">
        <v>14</v>
      </c>
      <c r="B314" s="29" t="s">
        <v>39</v>
      </c>
      <c r="C314" s="28">
        <v>12.666666666666666</v>
      </c>
      <c r="D314" s="28">
        <v>14</v>
      </c>
      <c r="E314" s="28">
        <v>13</v>
      </c>
      <c r="F314" s="28">
        <f>(((SUM(Third_Semester_Discrete_Mathematics[[#This Row],[Quiz 1]:[Quiz 3]]))/SUM($C$63:$E$63))*$F$63)</f>
        <v>13.222222222222221</v>
      </c>
      <c r="G314" s="27">
        <f>ROUND(Third_Semester_Discrete_Mathematics[[#This Row],[Quiz Average]],0)</f>
        <v>13</v>
      </c>
      <c r="H314" s="31">
        <v>2</v>
      </c>
      <c r="I314" s="31">
        <v>4</v>
      </c>
      <c r="J314" s="31">
        <v>4</v>
      </c>
      <c r="K314" s="103">
        <f>SUM(Third_Semester_Discrete_Mathematics[[#This Row],[Assignment]:[Attendance]])</f>
        <v>10</v>
      </c>
      <c r="L314" s="27">
        <f>ROUND(Third_Semester_Discrete_Mathematics[[#This Row],[Total out of APA]],0)</f>
        <v>10</v>
      </c>
      <c r="M314" s="28">
        <v>24.5</v>
      </c>
      <c r="N314" s="28">
        <v>39</v>
      </c>
      <c r="O314" s="28">
        <f>SUM(Third_Semester_Discrete_Mathematics[[#This Row],[Midterm]:[Final]])</f>
        <v>63.5</v>
      </c>
      <c r="P314" s="42">
        <f>ROUND(Third_Semester_Discrete_Mathematics[[#This Row],[Mid &amp; Final]],0)</f>
        <v>64</v>
      </c>
      <c r="Q314" s="42">
        <f t="shared" si="43"/>
        <v>87</v>
      </c>
      <c r="R314" s="46" t="str">
        <f t="shared" si="44"/>
        <v>A+</v>
      </c>
      <c r="S314" s="44" t="str">
        <f t="shared" si="45"/>
        <v>4.00</v>
      </c>
      <c r="T314" s="34" t="str">
        <f t="shared" si="46"/>
        <v>Outstanding</v>
      </c>
    </row>
    <row r="315" spans="1:20" x14ac:dyDescent="0.25">
      <c r="A315" s="1" t="s">
        <v>15</v>
      </c>
      <c r="B315" s="29" t="s">
        <v>40</v>
      </c>
      <c r="C315" s="28">
        <v>14</v>
      </c>
      <c r="D315" s="28">
        <v>11</v>
      </c>
      <c r="E315" s="28">
        <v>12.666666666666666</v>
      </c>
      <c r="F315" s="28">
        <f>(((SUM(Third_Semester_Discrete_Mathematics[[#This Row],[Quiz 1]:[Quiz 3]]))/SUM($C$63:$E$63))*$F$63)</f>
        <v>12.555555555555555</v>
      </c>
      <c r="G315" s="27">
        <f>ROUND(Third_Semester_Discrete_Mathematics[[#This Row],[Quiz Average]],0)</f>
        <v>13</v>
      </c>
      <c r="H315" s="31">
        <v>3</v>
      </c>
      <c r="I315" s="31">
        <v>3</v>
      </c>
      <c r="J315" s="31">
        <v>5</v>
      </c>
      <c r="K315" s="103">
        <f>SUM(Third_Semester_Discrete_Mathematics[[#This Row],[Assignment]:[Attendance]])</f>
        <v>11</v>
      </c>
      <c r="L315" s="27">
        <f>ROUND(Third_Semester_Discrete_Mathematics[[#This Row],[Total out of APA]],0)</f>
        <v>11</v>
      </c>
      <c r="M315" s="28">
        <v>18.5</v>
      </c>
      <c r="N315" s="28">
        <v>39.5</v>
      </c>
      <c r="O315" s="28">
        <f>SUM(Third_Semester_Discrete_Mathematics[[#This Row],[Midterm]:[Final]])</f>
        <v>58</v>
      </c>
      <c r="P315" s="42">
        <f>ROUND(Third_Semester_Discrete_Mathematics[[#This Row],[Mid &amp; Final]],0)</f>
        <v>58</v>
      </c>
      <c r="Q315" s="42">
        <f t="shared" si="43"/>
        <v>82</v>
      </c>
      <c r="R315" s="46" t="str">
        <f t="shared" si="44"/>
        <v>A+</v>
      </c>
      <c r="S315" s="44" t="str">
        <f t="shared" si="45"/>
        <v>4.00</v>
      </c>
      <c r="T315" s="34" t="str">
        <f t="shared" si="46"/>
        <v>Outstanding</v>
      </c>
    </row>
    <row r="316" spans="1:20" x14ac:dyDescent="0.25">
      <c r="A316" s="6" t="s">
        <v>16</v>
      </c>
      <c r="B316" s="225" t="s">
        <v>31</v>
      </c>
      <c r="C316" s="221"/>
      <c r="D316" s="221"/>
      <c r="E316" s="221"/>
      <c r="F316" s="221"/>
      <c r="G316" s="226"/>
      <c r="H316" s="220"/>
      <c r="I316" s="220"/>
      <c r="J316" s="220"/>
      <c r="K316" s="4"/>
      <c r="L316" s="226"/>
      <c r="M316" s="221"/>
      <c r="N316" s="221"/>
      <c r="O316" s="221"/>
      <c r="P316" s="222"/>
      <c r="Q316" s="222"/>
      <c r="R316" s="223"/>
      <c r="S316" s="224"/>
      <c r="T316" s="219"/>
    </row>
    <row r="317" spans="1:20" x14ac:dyDescent="0.25">
      <c r="A317" s="1" t="s">
        <v>17</v>
      </c>
      <c r="B317" s="29" t="s">
        <v>41</v>
      </c>
      <c r="C317" s="28">
        <v>14.333333333333334</v>
      </c>
      <c r="D317" s="28">
        <v>12.666666666666666</v>
      </c>
      <c r="E317" s="28">
        <v>12.666666666666666</v>
      </c>
      <c r="F317" s="28">
        <f>(((SUM(Third_Semester_Discrete_Mathematics[[#This Row],[Quiz 1]:[Quiz 3]]))/SUM($C$63:$E$63))*$F$63)</f>
        <v>13.222222222222221</v>
      </c>
      <c r="G317" s="27">
        <f>ROUND(Third_Semester_Discrete_Mathematics[[#This Row],[Quiz Average]],0)</f>
        <v>13</v>
      </c>
      <c r="H317" s="31">
        <v>5</v>
      </c>
      <c r="I317" s="31">
        <v>4</v>
      </c>
      <c r="J317" s="31">
        <v>2</v>
      </c>
      <c r="K317" s="103">
        <f>SUM(Third_Semester_Discrete_Mathematics[[#This Row],[Assignment]:[Attendance]])</f>
        <v>11</v>
      </c>
      <c r="L317" s="27">
        <f>ROUND(Third_Semester_Discrete_Mathematics[[#This Row],[Total out of APA]],0)</f>
        <v>11</v>
      </c>
      <c r="M317" s="28">
        <v>10.5</v>
      </c>
      <c r="N317" s="28">
        <v>39.5</v>
      </c>
      <c r="O317" s="28">
        <f>SUM(Third_Semester_Discrete_Mathematics[[#This Row],[Midterm]:[Final]])</f>
        <v>50</v>
      </c>
      <c r="P317" s="42">
        <f>ROUND(Third_Semester_Discrete_Mathematics[[#This Row],[Mid &amp; Final]],0)</f>
        <v>50</v>
      </c>
      <c r="Q317" s="42">
        <f t="shared" ref="Q317:Q326" si="47">SUM(G317,L317,P317)</f>
        <v>74</v>
      </c>
      <c r="R317" s="46" t="str">
        <f t="shared" ref="R317:R326" si="48">IF(Q317&gt;79,"A+",IF(Q317&gt;74,"A",IF(Q317&gt;69,"A-",IF(Q317&gt;64,"B+",IF(Q317&gt;59,"B",IF(Q317&gt;54,"B-",IF(Q317&gt;49,"C+",IF(Q317&gt;44,"C",IF(Q317&gt;39,"D",IF(Q317&gt;0,"F","N/A"))))))))))</f>
        <v>A-</v>
      </c>
      <c r="S317" s="44" t="str">
        <f t="shared" ref="S317:S326" si="49">IF(Q317&gt;79,"4.00",IF(Q317&gt;74,"3.75",IF(Q317&gt;69,"3.50",IF(Q317&gt;64,"3.25",IF(Q317&gt;59,"3.00",IF(Q317&gt;54,"2.75",IF(Q317&gt;49,"2.50",IF(Q317&gt;44,"2.25",IF(Q317&gt;39,"2.00",IF(Q317&gt;0,"0.00","N/A"))))))))))</f>
        <v>3.50</v>
      </c>
      <c r="T317" s="34" t="str">
        <f t="shared" ref="T317:T326" si="50">IF(Q317&gt;79,"Outstanding",IF(Q317&gt;74,"Excellent",IF(Q317&gt;69,"Very Good",IF(Q317&gt;64,"Good",IF(Q317&gt;59,"Satisfactory",IF(Q317&gt;54,"Above Average",IF(Q317&gt;49,"Average",IF(Q317&gt;44,"Bellow Average",IF(Q317&gt;39,"Pass",IF(Q317&gt;0,"Fail","N/A"))))))))))</f>
        <v>Very Good</v>
      </c>
    </row>
    <row r="318" spans="1:20" x14ac:dyDescent="0.25">
      <c r="A318" s="1" t="s">
        <v>18</v>
      </c>
      <c r="B318" s="29" t="s">
        <v>42</v>
      </c>
      <c r="C318" s="28">
        <v>15</v>
      </c>
      <c r="D318" s="28">
        <v>12</v>
      </c>
      <c r="E318" s="28">
        <v>12</v>
      </c>
      <c r="F318" s="28">
        <f>(((SUM(Third_Semester_Discrete_Mathematics[[#This Row],[Quiz 1]:[Quiz 3]]))/SUM($C$63:$E$63))*$F$63)</f>
        <v>13</v>
      </c>
      <c r="G318" s="27">
        <f>ROUND(Third_Semester_Discrete_Mathematics[[#This Row],[Quiz Average]],0)</f>
        <v>13</v>
      </c>
      <c r="H318" s="31">
        <v>2</v>
      </c>
      <c r="I318" s="31">
        <v>5</v>
      </c>
      <c r="J318" s="31">
        <v>5</v>
      </c>
      <c r="K318" s="103">
        <f>SUM(Third_Semester_Discrete_Mathematics[[#This Row],[Assignment]:[Attendance]])</f>
        <v>12</v>
      </c>
      <c r="L318" s="27">
        <f>ROUND(Third_Semester_Discrete_Mathematics[[#This Row],[Total out of APA]],0)</f>
        <v>12</v>
      </c>
      <c r="M318" s="28">
        <v>10.5</v>
      </c>
      <c r="N318" s="28">
        <v>39</v>
      </c>
      <c r="O318" s="28">
        <f>SUM(Third_Semester_Discrete_Mathematics[[#This Row],[Midterm]:[Final]])</f>
        <v>49.5</v>
      </c>
      <c r="P318" s="42">
        <f>ROUND(Third_Semester_Discrete_Mathematics[[#This Row],[Mid &amp; Final]],0)</f>
        <v>50</v>
      </c>
      <c r="Q318" s="42">
        <f t="shared" si="47"/>
        <v>75</v>
      </c>
      <c r="R318" s="46" t="str">
        <f t="shared" si="48"/>
        <v>A</v>
      </c>
      <c r="S318" s="44" t="str">
        <f t="shared" si="49"/>
        <v>3.75</v>
      </c>
      <c r="T318" s="34" t="str">
        <f t="shared" si="50"/>
        <v>Excellent</v>
      </c>
    </row>
    <row r="319" spans="1:20" x14ac:dyDescent="0.25">
      <c r="A319" s="1" t="s">
        <v>19</v>
      </c>
      <c r="B319" s="29" t="s">
        <v>43</v>
      </c>
      <c r="C319" s="28">
        <v>12</v>
      </c>
      <c r="D319" s="28">
        <v>10.666666666666666</v>
      </c>
      <c r="E319" s="28">
        <v>11</v>
      </c>
      <c r="F319" s="28">
        <f>(((SUM(Third_Semester_Discrete_Mathematics[[#This Row],[Quiz 1]:[Quiz 3]]))/SUM($C$63:$E$63))*$F$63)</f>
        <v>11.222222222222221</v>
      </c>
      <c r="G319" s="27">
        <f>ROUND(Third_Semester_Discrete_Mathematics[[#This Row],[Quiz Average]],0)</f>
        <v>11</v>
      </c>
      <c r="H319" s="31">
        <v>2</v>
      </c>
      <c r="I319" s="31">
        <v>5</v>
      </c>
      <c r="J319" s="31">
        <v>7</v>
      </c>
      <c r="K319" s="103">
        <f>SUM(Third_Semester_Discrete_Mathematics[[#This Row],[Assignment]:[Attendance]])</f>
        <v>14</v>
      </c>
      <c r="L319" s="27">
        <f>ROUND(Third_Semester_Discrete_Mathematics[[#This Row],[Total out of APA]],0)</f>
        <v>14</v>
      </c>
      <c r="M319" s="28">
        <v>23</v>
      </c>
      <c r="N319" s="28">
        <v>26</v>
      </c>
      <c r="O319" s="28">
        <f>SUM(Third_Semester_Discrete_Mathematics[[#This Row],[Midterm]:[Final]])</f>
        <v>49</v>
      </c>
      <c r="P319" s="42">
        <f>ROUND(Third_Semester_Discrete_Mathematics[[#This Row],[Mid &amp; Final]],0)</f>
        <v>49</v>
      </c>
      <c r="Q319" s="42">
        <f t="shared" si="47"/>
        <v>74</v>
      </c>
      <c r="R319" s="46" t="str">
        <f t="shared" si="48"/>
        <v>A-</v>
      </c>
      <c r="S319" s="44" t="str">
        <f t="shared" si="49"/>
        <v>3.50</v>
      </c>
      <c r="T319" s="34" t="str">
        <f t="shared" si="50"/>
        <v>Very Good</v>
      </c>
    </row>
    <row r="320" spans="1:20" x14ac:dyDescent="0.25">
      <c r="A320" s="1" t="s">
        <v>23</v>
      </c>
      <c r="B320" s="29" t="s">
        <v>44</v>
      </c>
      <c r="C320" s="28">
        <v>11</v>
      </c>
      <c r="D320" s="28">
        <v>10.666666666666666</v>
      </c>
      <c r="E320" s="28">
        <v>12</v>
      </c>
      <c r="F320" s="28">
        <f>(((SUM(Third_Semester_Discrete_Mathematics[[#This Row],[Quiz 1]:[Quiz 3]]))/SUM($C$63:$E$63))*$F$63)</f>
        <v>11.222222222222221</v>
      </c>
      <c r="G320" s="27">
        <f>ROUND(Third_Semester_Discrete_Mathematics[[#This Row],[Quiz Average]],0)</f>
        <v>11</v>
      </c>
      <c r="H320" s="31">
        <v>5</v>
      </c>
      <c r="I320" s="31">
        <v>7</v>
      </c>
      <c r="J320" s="31">
        <v>4</v>
      </c>
      <c r="K320" s="103">
        <f>SUM(Third_Semester_Discrete_Mathematics[[#This Row],[Assignment]:[Attendance]])</f>
        <v>16</v>
      </c>
      <c r="L320" s="27">
        <f>ROUND(Third_Semester_Discrete_Mathematics[[#This Row],[Total out of APA]],0)</f>
        <v>16</v>
      </c>
      <c r="M320" s="28">
        <v>20</v>
      </c>
      <c r="N320" s="28">
        <v>39</v>
      </c>
      <c r="O320" s="28">
        <f>SUM(Third_Semester_Discrete_Mathematics[[#This Row],[Midterm]:[Final]])</f>
        <v>59</v>
      </c>
      <c r="P320" s="42">
        <f>ROUND(Third_Semester_Discrete_Mathematics[[#This Row],[Mid &amp; Final]],0)</f>
        <v>59</v>
      </c>
      <c r="Q320" s="42">
        <f t="shared" si="47"/>
        <v>86</v>
      </c>
      <c r="R320" s="46" t="str">
        <f t="shared" si="48"/>
        <v>A+</v>
      </c>
      <c r="S320" s="44" t="str">
        <f t="shared" si="49"/>
        <v>4.00</v>
      </c>
      <c r="T320" s="34" t="str">
        <f t="shared" si="50"/>
        <v>Outstanding</v>
      </c>
    </row>
    <row r="321" spans="1:20" x14ac:dyDescent="0.25">
      <c r="A321" s="1" t="s">
        <v>24</v>
      </c>
      <c r="B321" s="29" t="s">
        <v>45</v>
      </c>
      <c r="C321" s="28">
        <v>10.666666666666666</v>
      </c>
      <c r="D321" s="28">
        <v>12.333333333333334</v>
      </c>
      <c r="E321" s="28">
        <v>14.333333333333334</v>
      </c>
      <c r="F321" s="28">
        <f>(((SUM(Third_Semester_Discrete_Mathematics[[#This Row],[Quiz 1]:[Quiz 3]]))/SUM($C$63:$E$63))*$F$63)</f>
        <v>12.444444444444446</v>
      </c>
      <c r="G321" s="27">
        <f>ROUND(Third_Semester_Discrete_Mathematics[[#This Row],[Quiz Average]],0)</f>
        <v>12</v>
      </c>
      <c r="H321" s="31">
        <v>5</v>
      </c>
      <c r="I321" s="31">
        <v>8</v>
      </c>
      <c r="J321" s="31">
        <v>7</v>
      </c>
      <c r="K321" s="103">
        <f>SUM(Third_Semester_Discrete_Mathematics[[#This Row],[Assignment]:[Attendance]])</f>
        <v>20</v>
      </c>
      <c r="L321" s="27">
        <f>ROUND(Third_Semester_Discrete_Mathematics[[#This Row],[Total out of APA]],0)</f>
        <v>20</v>
      </c>
      <c r="M321" s="28">
        <v>20</v>
      </c>
      <c r="N321" s="28">
        <v>30.5</v>
      </c>
      <c r="O321" s="28">
        <f>SUM(Third_Semester_Discrete_Mathematics[[#This Row],[Midterm]:[Final]])</f>
        <v>50.5</v>
      </c>
      <c r="P321" s="42">
        <f>ROUND(Third_Semester_Discrete_Mathematics[[#This Row],[Mid &amp; Final]],0)</f>
        <v>51</v>
      </c>
      <c r="Q321" s="42">
        <f t="shared" si="47"/>
        <v>83</v>
      </c>
      <c r="R321" s="46" t="str">
        <f t="shared" si="48"/>
        <v>A+</v>
      </c>
      <c r="S321" s="44" t="str">
        <f t="shared" si="49"/>
        <v>4.00</v>
      </c>
      <c r="T321" s="34" t="str">
        <f t="shared" si="50"/>
        <v>Outstanding</v>
      </c>
    </row>
    <row r="322" spans="1:20" x14ac:dyDescent="0.25">
      <c r="A322" s="1" t="s">
        <v>25</v>
      </c>
      <c r="B322" s="29" t="s">
        <v>46</v>
      </c>
      <c r="C322" s="28">
        <v>10.666666666666666</v>
      </c>
      <c r="D322" s="28">
        <v>12.333333333333334</v>
      </c>
      <c r="E322" s="28">
        <v>10.333333333333334</v>
      </c>
      <c r="F322" s="28">
        <f>(((SUM(Third_Semester_Discrete_Mathematics[[#This Row],[Quiz 1]:[Quiz 3]]))/SUM($C$63:$E$63))*$F$63)</f>
        <v>11.111111111111112</v>
      </c>
      <c r="G322" s="27">
        <f>ROUND(Third_Semester_Discrete_Mathematics[[#This Row],[Quiz Average]],0)</f>
        <v>11</v>
      </c>
      <c r="H322" s="31">
        <v>4</v>
      </c>
      <c r="I322" s="31">
        <v>8</v>
      </c>
      <c r="J322" s="31">
        <v>5</v>
      </c>
      <c r="K322" s="103">
        <f>SUM(Third_Semester_Discrete_Mathematics[[#This Row],[Assignment]:[Attendance]])</f>
        <v>17</v>
      </c>
      <c r="L322" s="27">
        <f>ROUND(Third_Semester_Discrete_Mathematics[[#This Row],[Total out of APA]],0)</f>
        <v>17</v>
      </c>
      <c r="M322" s="28">
        <v>12.5</v>
      </c>
      <c r="N322" s="28">
        <v>37.5</v>
      </c>
      <c r="O322" s="28">
        <f>SUM(Third_Semester_Discrete_Mathematics[[#This Row],[Midterm]:[Final]])</f>
        <v>50</v>
      </c>
      <c r="P322" s="42">
        <f>ROUND(Third_Semester_Discrete_Mathematics[[#This Row],[Mid &amp; Final]],0)</f>
        <v>50</v>
      </c>
      <c r="Q322" s="42">
        <f t="shared" si="47"/>
        <v>78</v>
      </c>
      <c r="R322" s="46" t="str">
        <f t="shared" si="48"/>
        <v>A</v>
      </c>
      <c r="S322" s="44" t="str">
        <f t="shared" si="49"/>
        <v>3.75</v>
      </c>
      <c r="T322" s="34" t="str">
        <f t="shared" si="50"/>
        <v>Excellent</v>
      </c>
    </row>
    <row r="323" spans="1:20" x14ac:dyDescent="0.25">
      <c r="A323" s="1" t="s">
        <v>26</v>
      </c>
      <c r="B323" s="29" t="s">
        <v>47</v>
      </c>
      <c r="C323" s="28">
        <v>12.666666666666666</v>
      </c>
      <c r="D323" s="28">
        <v>12.333333333333334</v>
      </c>
      <c r="E323" s="28">
        <v>12</v>
      </c>
      <c r="F323" s="28">
        <f>(((SUM(Third_Semester_Discrete_Mathematics[[#This Row],[Quiz 1]:[Quiz 3]]))/SUM($C$63:$E$63))*$F$63)</f>
        <v>12.333333333333332</v>
      </c>
      <c r="G323" s="27">
        <f>ROUND(Third_Semester_Discrete_Mathematics[[#This Row],[Quiz Average]],0)</f>
        <v>12</v>
      </c>
      <c r="H323" s="31">
        <v>4</v>
      </c>
      <c r="I323" s="31">
        <v>3</v>
      </c>
      <c r="J323" s="31">
        <v>6</v>
      </c>
      <c r="K323" s="103">
        <f>SUM(Third_Semester_Discrete_Mathematics[[#This Row],[Assignment]:[Attendance]])</f>
        <v>13</v>
      </c>
      <c r="L323" s="27">
        <f>ROUND(Third_Semester_Discrete_Mathematics[[#This Row],[Total out of APA]],0)</f>
        <v>13</v>
      </c>
      <c r="M323" s="28">
        <v>19.5</v>
      </c>
      <c r="N323" s="28">
        <v>35</v>
      </c>
      <c r="O323" s="28">
        <f>SUM(Third_Semester_Discrete_Mathematics[[#This Row],[Midterm]:[Final]])</f>
        <v>54.5</v>
      </c>
      <c r="P323" s="42">
        <f>ROUND(Third_Semester_Discrete_Mathematics[[#This Row],[Mid &amp; Final]],0)</f>
        <v>55</v>
      </c>
      <c r="Q323" s="42">
        <f t="shared" si="47"/>
        <v>80</v>
      </c>
      <c r="R323" s="46" t="str">
        <f t="shared" si="48"/>
        <v>A+</v>
      </c>
      <c r="S323" s="44" t="str">
        <f t="shared" si="49"/>
        <v>4.00</v>
      </c>
      <c r="T323" s="34" t="str">
        <f t="shared" si="50"/>
        <v>Outstanding</v>
      </c>
    </row>
    <row r="324" spans="1:20" x14ac:dyDescent="0.25">
      <c r="A324" s="1" t="s">
        <v>50</v>
      </c>
      <c r="B324" s="29" t="s">
        <v>51</v>
      </c>
      <c r="C324" s="28">
        <v>14</v>
      </c>
      <c r="D324" s="28">
        <v>13.666666666666666</v>
      </c>
      <c r="E324" s="28">
        <v>11.333333333333334</v>
      </c>
      <c r="F324" s="28">
        <f>(((SUM(Third_Semester_Discrete_Mathematics[[#This Row],[Quiz 1]:[Quiz 3]]))/SUM($C$63:$E$63))*$F$63)</f>
        <v>13</v>
      </c>
      <c r="G324" s="27">
        <f>ROUND(Third_Semester_Discrete_Mathematics[[#This Row],[Quiz Average]],0)</f>
        <v>13</v>
      </c>
      <c r="H324" s="31">
        <v>4</v>
      </c>
      <c r="I324" s="31">
        <v>3</v>
      </c>
      <c r="J324" s="31">
        <v>3</v>
      </c>
      <c r="K324" s="103">
        <f>SUM(Third_Semester_Discrete_Mathematics[[#This Row],[Assignment]:[Attendance]])</f>
        <v>10</v>
      </c>
      <c r="L324" s="27">
        <f>ROUND(Third_Semester_Discrete_Mathematics[[#This Row],[Total out of APA]],0)</f>
        <v>10</v>
      </c>
      <c r="M324" s="28">
        <v>20</v>
      </c>
      <c r="N324" s="28">
        <v>25.5</v>
      </c>
      <c r="O324" s="28">
        <f>SUM(Third_Semester_Discrete_Mathematics[[#This Row],[Midterm]:[Final]])</f>
        <v>45.5</v>
      </c>
      <c r="P324" s="42">
        <f>ROUND(Third_Semester_Discrete_Mathematics[[#This Row],[Mid &amp; Final]],0)</f>
        <v>46</v>
      </c>
      <c r="Q324" s="42">
        <f t="shared" si="47"/>
        <v>69</v>
      </c>
      <c r="R324" s="46" t="str">
        <f t="shared" si="48"/>
        <v>B+</v>
      </c>
      <c r="S324" s="44" t="str">
        <f t="shared" si="49"/>
        <v>3.25</v>
      </c>
      <c r="T324" s="34" t="str">
        <f t="shared" si="50"/>
        <v>Good</v>
      </c>
    </row>
    <row r="325" spans="1:20" x14ac:dyDescent="0.25">
      <c r="A325" s="1" t="s">
        <v>53</v>
      </c>
      <c r="B325" s="29" t="s">
        <v>54</v>
      </c>
      <c r="C325" s="28">
        <v>11</v>
      </c>
      <c r="D325" s="28">
        <v>12</v>
      </c>
      <c r="E325" s="28">
        <v>10</v>
      </c>
      <c r="F325" s="28">
        <f>(((SUM(Third_Semester_Discrete_Mathematics[[#This Row],[Quiz 1]:[Quiz 3]]))/SUM($C$63:$E$63))*$F$63)</f>
        <v>11</v>
      </c>
      <c r="G325" s="27">
        <f>ROUND(Third_Semester_Discrete_Mathematics[[#This Row],[Quiz Average]],0)</f>
        <v>11</v>
      </c>
      <c r="H325" s="31">
        <v>2</v>
      </c>
      <c r="I325" s="31">
        <v>2</v>
      </c>
      <c r="J325" s="31">
        <v>5</v>
      </c>
      <c r="K325" s="103">
        <f>SUM(Third_Semester_Discrete_Mathematics[[#This Row],[Assignment]:[Attendance]])</f>
        <v>9</v>
      </c>
      <c r="L325" s="27">
        <f>ROUND(Third_Semester_Discrete_Mathematics[[#This Row],[Total out of APA]],0)</f>
        <v>9</v>
      </c>
      <c r="M325" s="28">
        <v>25</v>
      </c>
      <c r="N325" s="28">
        <v>28.5</v>
      </c>
      <c r="O325" s="28">
        <f>SUM(Third_Semester_Discrete_Mathematics[[#This Row],[Midterm]:[Final]])</f>
        <v>53.5</v>
      </c>
      <c r="P325" s="42">
        <f>ROUND(Third_Semester_Discrete_Mathematics[[#This Row],[Mid &amp; Final]],0)</f>
        <v>54</v>
      </c>
      <c r="Q325" s="42">
        <f t="shared" si="47"/>
        <v>74</v>
      </c>
      <c r="R325" s="46" t="str">
        <f t="shared" si="48"/>
        <v>A-</v>
      </c>
      <c r="S325" s="44" t="str">
        <f t="shared" si="49"/>
        <v>3.50</v>
      </c>
      <c r="T325" s="34" t="str">
        <f t="shared" si="50"/>
        <v>Very Good</v>
      </c>
    </row>
    <row r="326" spans="1:20" ht="15.75" thickBot="1" x14ac:dyDescent="0.3">
      <c r="A326" s="35" t="s">
        <v>60</v>
      </c>
      <c r="B326" s="36" t="s">
        <v>61</v>
      </c>
      <c r="C326" s="47">
        <v>12.333333333333334</v>
      </c>
      <c r="D326" s="37">
        <v>10.666666666666666</v>
      </c>
      <c r="E326" s="37">
        <v>10.666666666666666</v>
      </c>
      <c r="F326" s="37">
        <f>(((SUM(Third_Semester_Discrete_Mathematics[[#This Row],[Quiz 1]:[Quiz 3]]))/SUM($C$63:$E$63))*$F$63)</f>
        <v>11.222222222222221</v>
      </c>
      <c r="G326" s="38">
        <f>ROUND(Third_Semester_Discrete_Mathematics[[#This Row],[Quiz Average]],0)</f>
        <v>11</v>
      </c>
      <c r="H326" s="39">
        <v>4</v>
      </c>
      <c r="I326" s="39">
        <v>3</v>
      </c>
      <c r="J326" s="39">
        <v>3</v>
      </c>
      <c r="K326" s="40">
        <f>SUM(Third_Semester_Discrete_Mathematics[[#This Row],[Assignment]:[Attendance]])</f>
        <v>10</v>
      </c>
      <c r="L326" s="38">
        <f>ROUND(Third_Semester_Discrete_Mathematics[[#This Row],[Total out of APA]],0)</f>
        <v>10</v>
      </c>
      <c r="M326" s="47">
        <v>10</v>
      </c>
      <c r="N326" s="37">
        <v>40</v>
      </c>
      <c r="O326" s="37">
        <f>SUM(Third_Semester_Discrete_Mathematics[[#This Row],[Midterm]:[Final]])</f>
        <v>50</v>
      </c>
      <c r="P326" s="43">
        <f>ROUND(Third_Semester_Discrete_Mathematics[[#This Row],[Mid &amp; Final]],0)</f>
        <v>50</v>
      </c>
      <c r="Q326" s="59">
        <f t="shared" si="47"/>
        <v>71</v>
      </c>
      <c r="R326" s="47" t="str">
        <f t="shared" si="48"/>
        <v>A-</v>
      </c>
      <c r="S326" s="45" t="str">
        <f t="shared" si="49"/>
        <v>3.50</v>
      </c>
      <c r="T326" s="41" t="str">
        <f t="shared" si="50"/>
        <v>Very Good</v>
      </c>
    </row>
  </sheetData>
  <mergeCells count="19">
    <mergeCell ref="A295:B295"/>
    <mergeCell ref="F295:L296"/>
    <mergeCell ref="A296:B296"/>
    <mergeCell ref="A60:B60"/>
    <mergeCell ref="F60:L61"/>
    <mergeCell ref="A61:B61"/>
    <mergeCell ref="A13:W15"/>
    <mergeCell ref="A107:B107"/>
    <mergeCell ref="F107:L108"/>
    <mergeCell ref="A108:B108"/>
    <mergeCell ref="A248:B248"/>
    <mergeCell ref="F248:L249"/>
    <mergeCell ref="A249:B249"/>
    <mergeCell ref="A154:B154"/>
    <mergeCell ref="F154:L155"/>
    <mergeCell ref="A155:B155"/>
    <mergeCell ref="A201:B201"/>
    <mergeCell ref="F201:L202"/>
    <mergeCell ref="A202:B202"/>
  </mergeCells>
  <phoneticPr fontId="1" type="noConversion"/>
  <pageMargins left="0.7" right="0.7" top="0.75" bottom="0.75" header="0.3" footer="0.3"/>
  <pageSetup orientation="portrait" horizontalDpi="300" verticalDpi="0" r:id="rId1"/>
  <ignoredErrors>
    <ignoredError sqref="C64:E69 H64:J69 C63:J63 M63:N63 M64:N69 C110:L110 C111:E116 H111:J116 C157:M157 C158:E163 H158:J163 D204:F204 D205:F210 D251:F251 D252:F257 C71:E75 H71:J75 M71:N75 C77:E80 H77:J80 M77:N80 C82:E91 H82:J91 M82:N91 C118:E122 H118:J122 C124:E127 H124:J127 C129:E138 H129:J138 C165:E169 H165:J169 C171:E174 H171:J174 C176:E185 H176:J185 D212:F216 D218:F221 D223:F232 D259:F263 D265:F268 D270:F279 C298:E298 H298:J326 M298:N298 M299:M304 C299:E304 C306:E310 C312:E315 C317:E326 M306:M310 M312:M315 M317:M326 N299:N304 N306:N310 N312:N315 N317:N326" calculatedColumn="1"/>
  </ignoredErrors>
  <drawing r:id="rId2"/>
  <tableParts count="7">
    <tablePart r:id="rId3"/>
    <tablePart r:id="rId4"/>
    <tablePart r:id="rId5"/>
    <tablePart r:id="rId6"/>
    <tablePart r:id="rId7"/>
    <tablePart r:id="rId8"/>
    <tablePart r:id="rId9"/>
  </tableParts>
  <extLst>
    <ext xmlns:x15="http://schemas.microsoft.com/office/spreadsheetml/2010/11/main" uri="{3A4CF648-6AED-40f4-86FF-DC5316D8AED3}">
      <x14:slicerList xmlns:x14="http://schemas.microsoft.com/office/spreadsheetml/2009/9/main">
        <x14:slicer r:id="rId10"/>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00B742-B2D3-413E-93E3-F6B0AA8FB797}">
  <dimension ref="A5:X286"/>
  <sheetViews>
    <sheetView zoomScale="85" zoomScaleNormal="85" workbookViewId="0"/>
  </sheetViews>
  <sheetFormatPr defaultRowHeight="15" x14ac:dyDescent="0.25"/>
  <cols>
    <col min="1" max="1" width="10.5703125" bestFit="1" customWidth="1"/>
    <col min="2" max="2" width="27.5703125" bestFit="1" customWidth="1"/>
    <col min="3" max="3" width="20" bestFit="1" customWidth="1"/>
    <col min="4" max="4" width="19.140625" bestFit="1" customWidth="1"/>
    <col min="5" max="5" width="33.28515625" bestFit="1" customWidth="1"/>
    <col min="6" max="6" width="29.7109375" bestFit="1" customWidth="1"/>
    <col min="7" max="7" width="35.7109375" bestFit="1" customWidth="1"/>
    <col min="8" max="8" width="49.85546875" bestFit="1" customWidth="1"/>
    <col min="9" max="9" width="17" bestFit="1" customWidth="1"/>
    <col min="10" max="10" width="18.140625" bestFit="1" customWidth="1"/>
    <col min="11" max="11" width="32.28515625" bestFit="1" customWidth="1"/>
    <col min="12" max="12" width="18" bestFit="1" customWidth="1"/>
    <col min="13" max="13" width="21.7109375" bestFit="1" customWidth="1"/>
    <col min="14" max="14" width="35.7109375" bestFit="1" customWidth="1"/>
    <col min="15" max="15" width="34.85546875" bestFit="1" customWidth="1"/>
    <col min="16" max="17" width="22" bestFit="1" customWidth="1"/>
    <col min="18" max="18" width="20.85546875" bestFit="1" customWidth="1"/>
    <col min="19" max="19" width="13.85546875" customWidth="1"/>
    <col min="20" max="20" width="18" bestFit="1" customWidth="1"/>
  </cols>
  <sheetData>
    <row r="5" spans="1:18" x14ac:dyDescent="0.25">
      <c r="M5" s="110"/>
      <c r="N5" s="110"/>
      <c r="O5" s="110"/>
      <c r="P5" s="110"/>
      <c r="Q5" s="110"/>
      <c r="R5" s="110"/>
    </row>
    <row r="6" spans="1:18" x14ac:dyDescent="0.25">
      <c r="L6" s="9"/>
      <c r="M6" s="110"/>
      <c r="N6" s="110"/>
      <c r="O6" s="110"/>
      <c r="P6" s="110"/>
      <c r="Q6" s="110"/>
      <c r="R6" s="110"/>
    </row>
    <row r="7" spans="1:18" x14ac:dyDescent="0.25">
      <c r="L7" s="9"/>
      <c r="M7" s="110"/>
      <c r="N7" s="110"/>
      <c r="O7" s="110"/>
      <c r="P7" s="110"/>
      <c r="Q7" s="110"/>
      <c r="R7" s="110"/>
    </row>
    <row r="8" spans="1:18" x14ac:dyDescent="0.25">
      <c r="L8" s="9"/>
      <c r="M8" s="110"/>
      <c r="N8" s="110"/>
      <c r="O8" s="110"/>
      <c r="P8" s="110"/>
      <c r="Q8" s="110"/>
      <c r="R8" s="110"/>
    </row>
    <row r="9" spans="1:18" x14ac:dyDescent="0.25">
      <c r="L9" s="119"/>
      <c r="M9" s="119"/>
      <c r="N9" s="119"/>
      <c r="O9" s="120"/>
      <c r="P9" s="121"/>
      <c r="Q9" s="110"/>
      <c r="R9" s="110"/>
    </row>
    <row r="10" spans="1:18" x14ac:dyDescent="0.25">
      <c r="L10" s="9"/>
      <c r="M10" s="110"/>
      <c r="N10" s="110"/>
      <c r="O10" s="110"/>
      <c r="P10" s="110"/>
      <c r="Q10" s="110"/>
      <c r="R10" s="110"/>
    </row>
    <row r="13" spans="1:18" ht="15" customHeight="1" x14ac:dyDescent="0.25">
      <c r="A13" s="297" t="s">
        <v>409</v>
      </c>
      <c r="B13" s="297"/>
      <c r="C13" s="297"/>
      <c r="D13" s="297"/>
      <c r="E13" s="297"/>
      <c r="F13" s="297"/>
      <c r="G13" s="297"/>
      <c r="H13" s="297"/>
      <c r="I13" s="297"/>
      <c r="J13" s="297"/>
      <c r="K13" s="297"/>
      <c r="L13" s="297"/>
      <c r="M13" s="297"/>
      <c r="N13" s="297"/>
      <c r="O13" s="297"/>
      <c r="P13" s="297"/>
      <c r="Q13" s="297"/>
    </row>
    <row r="14" spans="1:18" ht="15" customHeight="1" x14ac:dyDescent="0.25">
      <c r="A14" s="297"/>
      <c r="B14" s="297"/>
      <c r="C14" s="297"/>
      <c r="D14" s="297"/>
      <c r="E14" s="297"/>
      <c r="F14" s="297"/>
      <c r="G14" s="297"/>
      <c r="H14" s="297"/>
      <c r="I14" s="297"/>
      <c r="J14" s="297"/>
      <c r="K14" s="297"/>
      <c r="L14" s="297"/>
      <c r="M14" s="297"/>
      <c r="N14" s="297"/>
      <c r="O14" s="297"/>
      <c r="P14" s="297"/>
      <c r="Q14" s="297"/>
    </row>
    <row r="15" spans="1:18" ht="15" customHeight="1" x14ac:dyDescent="0.25">
      <c r="A15" s="297"/>
      <c r="B15" s="297"/>
      <c r="C15" s="297"/>
      <c r="D15" s="297"/>
      <c r="E15" s="297"/>
      <c r="F15" s="297"/>
      <c r="G15" s="297"/>
      <c r="H15" s="297"/>
      <c r="I15" s="297"/>
      <c r="J15" s="297"/>
      <c r="K15" s="297"/>
      <c r="L15" s="297"/>
      <c r="M15" s="297"/>
      <c r="N15" s="297"/>
      <c r="O15" s="297"/>
      <c r="P15" s="297"/>
      <c r="Q15" s="297"/>
    </row>
    <row r="16" spans="1:18" x14ac:dyDescent="0.25">
      <c r="A16" s="1" t="s">
        <v>0</v>
      </c>
      <c r="B16" s="1" t="s">
        <v>20</v>
      </c>
      <c r="C16" s="98" t="s">
        <v>117</v>
      </c>
      <c r="D16" s="1" t="s">
        <v>356</v>
      </c>
      <c r="E16" s="1" t="s">
        <v>403</v>
      </c>
      <c r="F16" s="1" t="s">
        <v>357</v>
      </c>
      <c r="G16" s="1" t="s">
        <v>397</v>
      </c>
      <c r="H16" s="1" t="s">
        <v>404</v>
      </c>
      <c r="I16" s="1" t="s">
        <v>358</v>
      </c>
      <c r="J16" s="1" t="s">
        <v>405</v>
      </c>
      <c r="K16" s="1" t="s">
        <v>406</v>
      </c>
      <c r="L16" s="1" t="s">
        <v>359</v>
      </c>
      <c r="M16" s="1" t="s">
        <v>407</v>
      </c>
      <c r="N16" s="1" t="s">
        <v>408</v>
      </c>
      <c r="O16" s="1" t="s">
        <v>429</v>
      </c>
      <c r="P16" s="1" t="s">
        <v>162</v>
      </c>
      <c r="Q16" s="1" t="s">
        <v>402</v>
      </c>
    </row>
    <row r="17" spans="1:17" x14ac:dyDescent="0.25">
      <c r="A17" s="93" t="s">
        <v>57</v>
      </c>
      <c r="B17" s="98" t="s">
        <v>58</v>
      </c>
      <c r="C17" s="28" t="str">
        <f t="shared" ref="C17:C44" si="0">S64</f>
        <v>0.00</v>
      </c>
      <c r="D17" s="93">
        <v>3</v>
      </c>
      <c r="E17" s="103">
        <f>Four_Semester_SGPA[[#This Row],[Accounting]]*Four_Semester_SGPA[[#This Row],[Accounting Credit]]</f>
        <v>0</v>
      </c>
      <c r="F17" s="28" t="str">
        <f>O111</f>
        <v>3.00</v>
      </c>
      <c r="G17" s="93">
        <v>3</v>
      </c>
      <c r="H17" s="103">
        <f>Four_Semester_SGPA[[#This Row],[Office Solution Development]]*Four_Semester_SGPA[[#This Row],[Office Solution Development Credit]]</f>
        <v>9</v>
      </c>
      <c r="I17" s="28" t="str">
        <f>O158</f>
        <v>2.50</v>
      </c>
      <c r="J17" s="93">
        <v>3</v>
      </c>
      <c r="K17" s="103">
        <f>Four_Semester_SGPA[[#This Row],[Algorithm]]*Four_Semester_SGPA[[#This Row],[Algorithm Credit]]</f>
        <v>7.5</v>
      </c>
      <c r="L17" s="28" t="str">
        <f t="shared" ref="L17:L44" si="1">K205</f>
        <v>2.25</v>
      </c>
      <c r="M17" s="93">
        <v>1</v>
      </c>
      <c r="N17" s="103">
        <f>Four_Semester_SGPA[[#This Row],[Algorithm Lab]]*Four_Semester_SGPA[[#This Row],[Algorithm Lab Credit]]</f>
        <v>2.25</v>
      </c>
      <c r="O17" s="103">
        <f t="shared" ref="O17:O44" si="2">SUM(E17,H17,K17,N17)</f>
        <v>18.75</v>
      </c>
      <c r="P17" s="93">
        <f t="shared" ref="P17:P22" si="3">SUM(D17,G17,J17,M17)</f>
        <v>10</v>
      </c>
      <c r="Q17" s="28">
        <f>Four_Semester_SGPA[[#This Row],[Total Subject (Total Grade + Credit)]]/Four_Semester_SGPA[[#This Row],[Total Subject Credit]]</f>
        <v>1.875</v>
      </c>
    </row>
    <row r="18" spans="1:17" x14ac:dyDescent="0.25">
      <c r="A18" s="93" t="s">
        <v>56</v>
      </c>
      <c r="B18" s="98" t="s">
        <v>59</v>
      </c>
      <c r="C18" s="28" t="str">
        <f t="shared" si="0"/>
        <v>3.00</v>
      </c>
      <c r="D18" s="93">
        <v>3</v>
      </c>
      <c r="E18" s="103">
        <f>Four_Semester_SGPA[[#This Row],[Accounting]]*Four_Semester_SGPA[[#This Row],[Accounting Credit]]</f>
        <v>9</v>
      </c>
      <c r="F18" s="28" t="str">
        <f t="shared" ref="F18:F44" si="4">O112</f>
        <v>0.00</v>
      </c>
      <c r="G18" s="93">
        <v>3</v>
      </c>
      <c r="H18" s="103">
        <f>Four_Semester_SGPA[[#This Row],[Office Solution Development]]*Four_Semester_SGPA[[#This Row],[Office Solution Development Credit]]</f>
        <v>0</v>
      </c>
      <c r="I18" s="28" t="str">
        <f t="shared" ref="I18:I44" si="5">O159</f>
        <v>2.25</v>
      </c>
      <c r="J18" s="93">
        <v>3</v>
      </c>
      <c r="K18" s="103">
        <f>Four_Semester_SGPA[[#This Row],[Algorithm]]*Four_Semester_SGPA[[#This Row],[Algorithm Credit]]</f>
        <v>6.75</v>
      </c>
      <c r="L18" s="28" t="str">
        <f t="shared" si="1"/>
        <v>3.00</v>
      </c>
      <c r="M18" s="93">
        <v>1</v>
      </c>
      <c r="N18" s="103">
        <f>Four_Semester_SGPA[[#This Row],[Algorithm Lab]]*Four_Semester_SGPA[[#This Row],[Algorithm Lab Credit]]</f>
        <v>3</v>
      </c>
      <c r="O18" s="103">
        <f t="shared" si="2"/>
        <v>18.75</v>
      </c>
      <c r="P18" s="103">
        <f t="shared" si="3"/>
        <v>10</v>
      </c>
      <c r="Q18" s="28">
        <f>Four_Semester_SGPA[[#This Row],[Total Subject (Total Grade + Credit)]]/Four_Semester_SGPA[[#This Row],[Total Subject Credit]]</f>
        <v>1.875</v>
      </c>
    </row>
    <row r="19" spans="1:17" x14ac:dyDescent="0.25">
      <c r="A19" s="93" t="s">
        <v>1</v>
      </c>
      <c r="B19" s="98" t="s">
        <v>27</v>
      </c>
      <c r="C19" s="28" t="str">
        <f t="shared" si="0"/>
        <v>2.50</v>
      </c>
      <c r="D19" s="93">
        <v>3</v>
      </c>
      <c r="E19" s="103">
        <f>Four_Semester_SGPA[[#This Row],[Accounting]]*Four_Semester_SGPA[[#This Row],[Accounting Credit]]</f>
        <v>7.5</v>
      </c>
      <c r="F19" s="28" t="str">
        <f t="shared" si="4"/>
        <v>2.00</v>
      </c>
      <c r="G19" s="93">
        <v>3</v>
      </c>
      <c r="H19" s="103">
        <f>Four_Semester_SGPA[[#This Row],[Office Solution Development]]*Four_Semester_SGPA[[#This Row],[Office Solution Development Credit]]</f>
        <v>6</v>
      </c>
      <c r="I19" s="28" t="str">
        <f t="shared" si="5"/>
        <v>2.75</v>
      </c>
      <c r="J19" s="93">
        <v>3</v>
      </c>
      <c r="K19" s="103">
        <f>Four_Semester_SGPA[[#This Row],[Algorithm]]*Four_Semester_SGPA[[#This Row],[Algorithm Credit]]</f>
        <v>8.25</v>
      </c>
      <c r="L19" s="28" t="str">
        <f t="shared" si="1"/>
        <v>2.00</v>
      </c>
      <c r="M19" s="93">
        <v>1</v>
      </c>
      <c r="N19" s="103">
        <f>Four_Semester_SGPA[[#This Row],[Algorithm Lab]]*Four_Semester_SGPA[[#This Row],[Algorithm Lab Credit]]</f>
        <v>2</v>
      </c>
      <c r="O19" s="103">
        <f t="shared" si="2"/>
        <v>23.75</v>
      </c>
      <c r="P19" s="103">
        <f t="shared" si="3"/>
        <v>10</v>
      </c>
      <c r="Q19" s="28">
        <f>Four_Semester_SGPA[[#This Row],[Total Subject (Total Grade + Credit)]]/Four_Semester_SGPA[[#This Row],[Total Subject Credit]]</f>
        <v>2.375</v>
      </c>
    </row>
    <row r="20" spans="1:17" x14ac:dyDescent="0.25">
      <c r="A20" s="93" t="s">
        <v>2</v>
      </c>
      <c r="B20" s="98" t="s">
        <v>28</v>
      </c>
      <c r="C20" s="28" t="str">
        <f t="shared" si="0"/>
        <v>3.00</v>
      </c>
      <c r="D20" s="93">
        <v>3</v>
      </c>
      <c r="E20" s="103">
        <f>Four_Semester_SGPA[[#This Row],[Accounting]]*Four_Semester_SGPA[[#This Row],[Accounting Credit]]</f>
        <v>9</v>
      </c>
      <c r="F20" s="28" t="str">
        <f t="shared" si="4"/>
        <v>2.25</v>
      </c>
      <c r="G20" s="93">
        <v>3</v>
      </c>
      <c r="H20" s="103">
        <f>Four_Semester_SGPA[[#This Row],[Office Solution Development]]*Four_Semester_SGPA[[#This Row],[Office Solution Development Credit]]</f>
        <v>6.75</v>
      </c>
      <c r="I20" s="28" t="str">
        <f t="shared" si="5"/>
        <v>3.25</v>
      </c>
      <c r="J20" s="93">
        <v>3</v>
      </c>
      <c r="K20" s="103">
        <f>Four_Semester_SGPA[[#This Row],[Algorithm]]*Four_Semester_SGPA[[#This Row],[Algorithm Credit]]</f>
        <v>9.75</v>
      </c>
      <c r="L20" s="28" t="str">
        <f t="shared" si="1"/>
        <v>0.00</v>
      </c>
      <c r="M20" s="93">
        <v>1</v>
      </c>
      <c r="N20" s="103">
        <f>Four_Semester_SGPA[[#This Row],[Algorithm Lab]]*Four_Semester_SGPA[[#This Row],[Algorithm Lab Credit]]</f>
        <v>0</v>
      </c>
      <c r="O20" s="103">
        <f t="shared" si="2"/>
        <v>25.5</v>
      </c>
      <c r="P20" s="103">
        <f t="shared" si="3"/>
        <v>10</v>
      </c>
      <c r="Q20" s="28">
        <f>Four_Semester_SGPA[[#This Row],[Total Subject (Total Grade + Credit)]]/Four_Semester_SGPA[[#This Row],[Total Subject Credit]]</f>
        <v>2.5499999999999998</v>
      </c>
    </row>
    <row r="21" spans="1:17" x14ac:dyDescent="0.25">
      <c r="A21" s="93" t="s">
        <v>3</v>
      </c>
      <c r="B21" s="98" t="s">
        <v>29</v>
      </c>
      <c r="C21" s="28" t="str">
        <f t="shared" si="0"/>
        <v>3.50</v>
      </c>
      <c r="D21" s="93">
        <v>3</v>
      </c>
      <c r="E21" s="103">
        <f>Four_Semester_SGPA[[#This Row],[Accounting]]*Four_Semester_SGPA[[#This Row],[Accounting Credit]]</f>
        <v>10.5</v>
      </c>
      <c r="F21" s="28" t="str">
        <f t="shared" si="4"/>
        <v>0.00</v>
      </c>
      <c r="G21" s="93">
        <v>3</v>
      </c>
      <c r="H21" s="103">
        <f>Four_Semester_SGPA[[#This Row],[Office Solution Development]]*Four_Semester_SGPA[[#This Row],[Office Solution Development Credit]]</f>
        <v>0</v>
      </c>
      <c r="I21" s="28" t="str">
        <f t="shared" si="5"/>
        <v>2.50</v>
      </c>
      <c r="J21" s="93">
        <v>3</v>
      </c>
      <c r="K21" s="103">
        <f>Four_Semester_SGPA[[#This Row],[Algorithm]]*Four_Semester_SGPA[[#This Row],[Algorithm Credit]]</f>
        <v>7.5</v>
      </c>
      <c r="L21" s="28" t="str">
        <f t="shared" si="1"/>
        <v>3.00</v>
      </c>
      <c r="M21" s="93">
        <v>1</v>
      </c>
      <c r="N21" s="103">
        <f>Four_Semester_SGPA[[#This Row],[Algorithm Lab]]*Four_Semester_SGPA[[#This Row],[Algorithm Lab Credit]]</f>
        <v>3</v>
      </c>
      <c r="O21" s="103">
        <f t="shared" si="2"/>
        <v>21</v>
      </c>
      <c r="P21" s="103">
        <f t="shared" si="3"/>
        <v>10</v>
      </c>
      <c r="Q21" s="28">
        <f>Four_Semester_SGPA[[#This Row],[Total Subject (Total Grade + Credit)]]/Four_Semester_SGPA[[#This Row],[Total Subject Credit]]</f>
        <v>2.1</v>
      </c>
    </row>
    <row r="22" spans="1:17" x14ac:dyDescent="0.25">
      <c r="A22" s="93" t="s">
        <v>4</v>
      </c>
      <c r="B22" s="98" t="s">
        <v>30</v>
      </c>
      <c r="C22" s="28" t="str">
        <f t="shared" si="0"/>
        <v>2.75</v>
      </c>
      <c r="D22" s="93">
        <v>3</v>
      </c>
      <c r="E22" s="103">
        <f>Four_Semester_SGPA[[#This Row],[Accounting]]*Four_Semester_SGPA[[#This Row],[Accounting Credit]]</f>
        <v>8.25</v>
      </c>
      <c r="F22" s="28" t="str">
        <f t="shared" si="4"/>
        <v>2.50</v>
      </c>
      <c r="G22" s="93">
        <v>3</v>
      </c>
      <c r="H22" s="103">
        <f>Four_Semester_SGPA[[#This Row],[Office Solution Development]]*Four_Semester_SGPA[[#This Row],[Office Solution Development Credit]]</f>
        <v>7.5</v>
      </c>
      <c r="I22" s="28" t="str">
        <f t="shared" si="5"/>
        <v>2.25</v>
      </c>
      <c r="J22" s="93">
        <v>3</v>
      </c>
      <c r="K22" s="103">
        <f>Four_Semester_SGPA[[#This Row],[Algorithm]]*Four_Semester_SGPA[[#This Row],[Algorithm Credit]]</f>
        <v>6.75</v>
      </c>
      <c r="L22" s="28" t="str">
        <f t="shared" si="1"/>
        <v>0.00</v>
      </c>
      <c r="M22" s="93">
        <v>1</v>
      </c>
      <c r="N22" s="103">
        <f>Four_Semester_SGPA[[#This Row],[Algorithm Lab]]*Four_Semester_SGPA[[#This Row],[Algorithm Lab Credit]]</f>
        <v>0</v>
      </c>
      <c r="O22" s="103">
        <f t="shared" si="2"/>
        <v>22.5</v>
      </c>
      <c r="P22" s="103">
        <f t="shared" si="3"/>
        <v>10</v>
      </c>
      <c r="Q22" s="28">
        <f>Four_Semester_SGPA[[#This Row],[Total Subject (Total Grade + Credit)]]/Four_Semester_SGPA[[#This Row],[Total Subject Credit]]</f>
        <v>2.25</v>
      </c>
    </row>
    <row r="23" spans="1:17" x14ac:dyDescent="0.25">
      <c r="A23" s="208" t="s">
        <v>5</v>
      </c>
      <c r="B23" s="207" t="s">
        <v>31</v>
      </c>
      <c r="C23" s="209"/>
      <c r="D23" s="208"/>
      <c r="E23" s="208"/>
      <c r="F23" s="209"/>
      <c r="G23" s="208"/>
      <c r="H23" s="208"/>
      <c r="I23" s="209"/>
      <c r="J23" s="208"/>
      <c r="K23" s="208"/>
      <c r="L23" s="209"/>
      <c r="M23" s="208"/>
      <c r="N23" s="208"/>
      <c r="O23" s="208"/>
      <c r="P23" s="208"/>
      <c r="Q23" s="209"/>
    </row>
    <row r="24" spans="1:17" x14ac:dyDescent="0.25">
      <c r="A24" s="93" t="s">
        <v>6</v>
      </c>
      <c r="B24" s="98" t="s">
        <v>32</v>
      </c>
      <c r="C24" s="28" t="str">
        <f t="shared" si="0"/>
        <v>3.50</v>
      </c>
      <c r="D24" s="93">
        <v>3</v>
      </c>
      <c r="E24" s="103">
        <f>Four_Semester_SGPA[[#This Row],[Accounting]]*Four_Semester_SGPA[[#This Row],[Accounting Credit]]</f>
        <v>10.5</v>
      </c>
      <c r="F24" s="28" t="str">
        <f t="shared" si="4"/>
        <v>2.75</v>
      </c>
      <c r="G24" s="93">
        <v>3</v>
      </c>
      <c r="H24" s="103">
        <f>Four_Semester_SGPA[[#This Row],[Office Solution Development]]*Four_Semester_SGPA[[#This Row],[Office Solution Development Credit]]</f>
        <v>8.25</v>
      </c>
      <c r="I24" s="28" t="str">
        <f t="shared" si="5"/>
        <v>4.00</v>
      </c>
      <c r="J24" s="93">
        <v>3</v>
      </c>
      <c r="K24" s="103">
        <f>Four_Semester_SGPA[[#This Row],[Algorithm]]*Four_Semester_SGPA[[#This Row],[Algorithm Credit]]</f>
        <v>12</v>
      </c>
      <c r="L24" s="28" t="str">
        <f t="shared" si="1"/>
        <v>2.50</v>
      </c>
      <c r="M24" s="93">
        <v>1</v>
      </c>
      <c r="N24" s="103">
        <f>Four_Semester_SGPA[[#This Row],[Algorithm Lab]]*Four_Semester_SGPA[[#This Row],[Algorithm Lab Credit]]</f>
        <v>2.5</v>
      </c>
      <c r="O24" s="103">
        <f t="shared" si="2"/>
        <v>33.25</v>
      </c>
      <c r="P24" s="103">
        <f>SUM(D24,G24,J24,M24)</f>
        <v>10</v>
      </c>
      <c r="Q24" s="28">
        <f>Four_Semester_SGPA[[#This Row],[Total Subject (Total Grade + Credit)]]/Four_Semester_SGPA[[#This Row],[Total Subject Credit]]</f>
        <v>3.3250000000000002</v>
      </c>
    </row>
    <row r="25" spans="1:17" x14ac:dyDescent="0.25">
      <c r="A25" s="93" t="s">
        <v>7</v>
      </c>
      <c r="B25" s="98" t="s">
        <v>33</v>
      </c>
      <c r="C25" s="28" t="str">
        <f t="shared" si="0"/>
        <v>2.75</v>
      </c>
      <c r="D25" s="93">
        <v>3</v>
      </c>
      <c r="E25" s="103">
        <f>Four_Semester_SGPA[[#This Row],[Accounting]]*Four_Semester_SGPA[[#This Row],[Accounting Credit]]</f>
        <v>8.25</v>
      </c>
      <c r="F25" s="28" t="str">
        <f t="shared" si="4"/>
        <v>2.00</v>
      </c>
      <c r="G25" s="93">
        <v>3</v>
      </c>
      <c r="H25" s="103">
        <f>Four_Semester_SGPA[[#This Row],[Office Solution Development]]*Four_Semester_SGPA[[#This Row],[Office Solution Development Credit]]</f>
        <v>6</v>
      </c>
      <c r="I25" s="28" t="str">
        <f t="shared" si="5"/>
        <v>3.00</v>
      </c>
      <c r="J25" s="93">
        <v>3</v>
      </c>
      <c r="K25" s="103">
        <f>Four_Semester_SGPA[[#This Row],[Algorithm]]*Four_Semester_SGPA[[#This Row],[Algorithm Credit]]</f>
        <v>9</v>
      </c>
      <c r="L25" s="28" t="str">
        <f t="shared" si="1"/>
        <v>3.00</v>
      </c>
      <c r="M25" s="93">
        <v>1</v>
      </c>
      <c r="N25" s="103">
        <f>Four_Semester_SGPA[[#This Row],[Algorithm Lab]]*Four_Semester_SGPA[[#This Row],[Algorithm Lab Credit]]</f>
        <v>3</v>
      </c>
      <c r="O25" s="103">
        <f t="shared" si="2"/>
        <v>26.25</v>
      </c>
      <c r="P25" s="103">
        <f>SUM(D25,G25,J25,M25)</f>
        <v>10</v>
      </c>
      <c r="Q25" s="28">
        <f>Four_Semester_SGPA[[#This Row],[Total Subject (Total Grade + Credit)]]/Four_Semester_SGPA[[#This Row],[Total Subject Credit]]</f>
        <v>2.625</v>
      </c>
    </row>
    <row r="26" spans="1:17" x14ac:dyDescent="0.25">
      <c r="A26" s="93" t="s">
        <v>8</v>
      </c>
      <c r="B26" s="98" t="s">
        <v>34</v>
      </c>
      <c r="C26" s="28" t="str">
        <f t="shared" si="0"/>
        <v>3.00</v>
      </c>
      <c r="D26" s="93">
        <v>3</v>
      </c>
      <c r="E26" s="103">
        <f>Four_Semester_SGPA[[#This Row],[Accounting]]*Four_Semester_SGPA[[#This Row],[Accounting Credit]]</f>
        <v>9</v>
      </c>
      <c r="F26" s="28" t="str">
        <f t="shared" si="4"/>
        <v>3.00</v>
      </c>
      <c r="G26" s="93">
        <v>3</v>
      </c>
      <c r="H26" s="103">
        <f>Four_Semester_SGPA[[#This Row],[Office Solution Development]]*Four_Semester_SGPA[[#This Row],[Office Solution Development Credit]]</f>
        <v>9</v>
      </c>
      <c r="I26" s="28" t="str">
        <f t="shared" si="5"/>
        <v>0.00</v>
      </c>
      <c r="J26" s="93">
        <v>3</v>
      </c>
      <c r="K26" s="103">
        <f>Four_Semester_SGPA[[#This Row],[Algorithm]]*Four_Semester_SGPA[[#This Row],[Algorithm Credit]]</f>
        <v>0</v>
      </c>
      <c r="L26" s="28" t="str">
        <f t="shared" si="1"/>
        <v>0.00</v>
      </c>
      <c r="M26" s="93">
        <v>1</v>
      </c>
      <c r="N26" s="103">
        <f>Four_Semester_SGPA[[#This Row],[Algorithm Lab]]*Four_Semester_SGPA[[#This Row],[Algorithm Lab Credit]]</f>
        <v>0</v>
      </c>
      <c r="O26" s="103">
        <f t="shared" si="2"/>
        <v>18</v>
      </c>
      <c r="P26" s="103">
        <f>SUM(D26,G26,J26,M26)</f>
        <v>10</v>
      </c>
      <c r="Q26" s="28">
        <f>Four_Semester_SGPA[[#This Row],[Total Subject (Total Grade + Credit)]]/Four_Semester_SGPA[[#This Row],[Total Subject Credit]]</f>
        <v>1.8</v>
      </c>
    </row>
    <row r="27" spans="1:17" x14ac:dyDescent="0.25">
      <c r="A27" s="93" t="s">
        <v>9</v>
      </c>
      <c r="B27" s="98" t="s">
        <v>35</v>
      </c>
      <c r="C27" s="28" t="str">
        <f t="shared" si="0"/>
        <v>2.00</v>
      </c>
      <c r="D27" s="93">
        <v>3</v>
      </c>
      <c r="E27" s="103">
        <f>Four_Semester_SGPA[[#This Row],[Accounting]]*Four_Semester_SGPA[[#This Row],[Accounting Credit]]</f>
        <v>6</v>
      </c>
      <c r="F27" s="28" t="str">
        <f t="shared" si="4"/>
        <v>3.25</v>
      </c>
      <c r="G27" s="93">
        <v>3</v>
      </c>
      <c r="H27" s="103">
        <f>Four_Semester_SGPA[[#This Row],[Office Solution Development]]*Four_Semester_SGPA[[#This Row],[Office Solution Development Credit]]</f>
        <v>9.75</v>
      </c>
      <c r="I27" s="28" t="str">
        <f t="shared" si="5"/>
        <v>2.25</v>
      </c>
      <c r="J27" s="93">
        <v>3</v>
      </c>
      <c r="K27" s="103">
        <f>Four_Semester_SGPA[[#This Row],[Algorithm]]*Four_Semester_SGPA[[#This Row],[Algorithm Credit]]</f>
        <v>6.75</v>
      </c>
      <c r="L27" s="28" t="str">
        <f t="shared" si="1"/>
        <v>2.25</v>
      </c>
      <c r="M27" s="93">
        <v>1</v>
      </c>
      <c r="N27" s="103">
        <f>Four_Semester_SGPA[[#This Row],[Algorithm Lab]]*Four_Semester_SGPA[[#This Row],[Algorithm Lab Credit]]</f>
        <v>2.25</v>
      </c>
      <c r="O27" s="103">
        <f t="shared" si="2"/>
        <v>24.75</v>
      </c>
      <c r="P27" s="103">
        <f>SUM(D27,G27,J27,M27)</f>
        <v>10</v>
      </c>
      <c r="Q27" s="28">
        <f>Four_Semester_SGPA[[#This Row],[Total Subject (Total Grade + Credit)]]/Four_Semester_SGPA[[#This Row],[Total Subject Credit]]</f>
        <v>2.4750000000000001</v>
      </c>
    </row>
    <row r="28" spans="1:17" x14ac:dyDescent="0.25">
      <c r="A28" s="93" t="s">
        <v>10</v>
      </c>
      <c r="B28" s="98" t="s">
        <v>36</v>
      </c>
      <c r="C28" s="28" t="str">
        <f t="shared" si="0"/>
        <v>0.00</v>
      </c>
      <c r="D28" s="93">
        <v>3</v>
      </c>
      <c r="E28" s="103">
        <f>Four_Semester_SGPA[[#This Row],[Accounting]]*Four_Semester_SGPA[[#This Row],[Accounting Credit]]</f>
        <v>0</v>
      </c>
      <c r="F28" s="28" t="str">
        <f t="shared" si="4"/>
        <v>3.25</v>
      </c>
      <c r="G28" s="93">
        <v>3</v>
      </c>
      <c r="H28" s="103">
        <f>Four_Semester_SGPA[[#This Row],[Office Solution Development]]*Four_Semester_SGPA[[#This Row],[Office Solution Development Credit]]</f>
        <v>9.75</v>
      </c>
      <c r="I28" s="28" t="str">
        <f t="shared" si="5"/>
        <v>2.00</v>
      </c>
      <c r="J28" s="93">
        <v>3</v>
      </c>
      <c r="K28" s="103">
        <f>Four_Semester_SGPA[[#This Row],[Algorithm]]*Four_Semester_SGPA[[#This Row],[Algorithm Credit]]</f>
        <v>6</v>
      </c>
      <c r="L28" s="28" t="str">
        <f t="shared" si="1"/>
        <v>2.25</v>
      </c>
      <c r="M28" s="93">
        <v>1</v>
      </c>
      <c r="N28" s="103">
        <f>Four_Semester_SGPA[[#This Row],[Algorithm Lab]]*Four_Semester_SGPA[[#This Row],[Algorithm Lab Credit]]</f>
        <v>2.25</v>
      </c>
      <c r="O28" s="103">
        <f t="shared" si="2"/>
        <v>18</v>
      </c>
      <c r="P28" s="103">
        <f>SUM(D28,G28,J28,M28)</f>
        <v>10</v>
      </c>
      <c r="Q28" s="28">
        <f>Four_Semester_SGPA[[#This Row],[Total Subject (Total Grade + Credit)]]/Four_Semester_SGPA[[#This Row],[Total Subject Credit]]</f>
        <v>1.8</v>
      </c>
    </row>
    <row r="29" spans="1:17" x14ac:dyDescent="0.25">
      <c r="A29" s="208" t="s">
        <v>11</v>
      </c>
      <c r="B29" s="207" t="s">
        <v>31</v>
      </c>
      <c r="C29" s="209"/>
      <c r="D29" s="208"/>
      <c r="E29" s="208"/>
      <c r="F29" s="209"/>
      <c r="G29" s="208"/>
      <c r="H29" s="208"/>
      <c r="I29" s="209"/>
      <c r="J29" s="208"/>
      <c r="K29" s="208"/>
      <c r="L29" s="209"/>
      <c r="M29" s="208"/>
      <c r="N29" s="208"/>
      <c r="O29" s="208"/>
      <c r="P29" s="208"/>
      <c r="Q29" s="209"/>
    </row>
    <row r="30" spans="1:17" x14ac:dyDescent="0.25">
      <c r="A30" s="93" t="s">
        <v>12</v>
      </c>
      <c r="B30" s="98" t="s">
        <v>37</v>
      </c>
      <c r="C30" s="28" t="str">
        <f t="shared" si="0"/>
        <v>3.50</v>
      </c>
      <c r="D30" s="93">
        <v>3</v>
      </c>
      <c r="E30" s="103">
        <f>Four_Semester_SGPA[[#This Row],[Accounting]]*Four_Semester_SGPA[[#This Row],[Accounting Credit]]</f>
        <v>10.5</v>
      </c>
      <c r="F30" s="28" t="str">
        <f t="shared" si="4"/>
        <v>2.75</v>
      </c>
      <c r="G30" s="93">
        <v>3</v>
      </c>
      <c r="H30" s="103">
        <f>Four_Semester_SGPA[[#This Row],[Office Solution Development]]*Four_Semester_SGPA[[#This Row],[Office Solution Development Credit]]</f>
        <v>8.25</v>
      </c>
      <c r="I30" s="28" t="str">
        <f t="shared" si="5"/>
        <v>0.00</v>
      </c>
      <c r="J30" s="93">
        <v>3</v>
      </c>
      <c r="K30" s="103">
        <f>Four_Semester_SGPA[[#This Row],[Algorithm]]*Four_Semester_SGPA[[#This Row],[Algorithm Credit]]</f>
        <v>0</v>
      </c>
      <c r="L30" s="28" t="str">
        <f t="shared" si="1"/>
        <v>0.00</v>
      </c>
      <c r="M30" s="93">
        <v>1</v>
      </c>
      <c r="N30" s="103">
        <f>Four_Semester_SGPA[[#This Row],[Algorithm Lab]]*Four_Semester_SGPA[[#This Row],[Algorithm Lab Credit]]</f>
        <v>0</v>
      </c>
      <c r="O30" s="103">
        <f t="shared" si="2"/>
        <v>18.75</v>
      </c>
      <c r="P30" s="103">
        <f>SUM(D30,G30,J30,M30)</f>
        <v>10</v>
      </c>
      <c r="Q30" s="28">
        <f>Four_Semester_SGPA[[#This Row],[Total Subject (Total Grade + Credit)]]/Four_Semester_SGPA[[#This Row],[Total Subject Credit]]</f>
        <v>1.875</v>
      </c>
    </row>
    <row r="31" spans="1:17" x14ac:dyDescent="0.25">
      <c r="A31" s="93" t="s">
        <v>13</v>
      </c>
      <c r="B31" s="98" t="s">
        <v>38</v>
      </c>
      <c r="C31" s="28" t="str">
        <f t="shared" si="0"/>
        <v>2.25</v>
      </c>
      <c r="D31" s="93">
        <v>3</v>
      </c>
      <c r="E31" s="103">
        <f>Four_Semester_SGPA[[#This Row],[Accounting]]*Four_Semester_SGPA[[#This Row],[Accounting Credit]]</f>
        <v>6.75</v>
      </c>
      <c r="F31" s="28" t="str">
        <f t="shared" si="4"/>
        <v>2.00</v>
      </c>
      <c r="G31" s="93">
        <v>3</v>
      </c>
      <c r="H31" s="103">
        <f>Four_Semester_SGPA[[#This Row],[Office Solution Development]]*Four_Semester_SGPA[[#This Row],[Office Solution Development Credit]]</f>
        <v>6</v>
      </c>
      <c r="I31" s="28" t="str">
        <f t="shared" si="5"/>
        <v>3.50</v>
      </c>
      <c r="J31" s="93">
        <v>3</v>
      </c>
      <c r="K31" s="103">
        <f>Four_Semester_SGPA[[#This Row],[Algorithm]]*Four_Semester_SGPA[[#This Row],[Algorithm Credit]]</f>
        <v>10.5</v>
      </c>
      <c r="L31" s="28" t="str">
        <f t="shared" si="1"/>
        <v>2.50</v>
      </c>
      <c r="M31" s="93">
        <v>1</v>
      </c>
      <c r="N31" s="103">
        <f>Four_Semester_SGPA[[#This Row],[Algorithm Lab]]*Four_Semester_SGPA[[#This Row],[Algorithm Lab Credit]]</f>
        <v>2.5</v>
      </c>
      <c r="O31" s="103">
        <f t="shared" si="2"/>
        <v>25.75</v>
      </c>
      <c r="P31" s="103">
        <f>SUM(D31,G31,J31,M31)</f>
        <v>10</v>
      </c>
      <c r="Q31" s="28">
        <f>Four_Semester_SGPA[[#This Row],[Total Subject (Total Grade + Credit)]]/Four_Semester_SGPA[[#This Row],[Total Subject Credit]]</f>
        <v>2.5750000000000002</v>
      </c>
    </row>
    <row r="32" spans="1:17" x14ac:dyDescent="0.25">
      <c r="A32" s="93" t="s">
        <v>14</v>
      </c>
      <c r="B32" s="98" t="s">
        <v>39</v>
      </c>
      <c r="C32" s="28" t="str">
        <f t="shared" si="0"/>
        <v>3.00</v>
      </c>
      <c r="D32" s="93">
        <v>3</v>
      </c>
      <c r="E32" s="103">
        <f>Four_Semester_SGPA[[#This Row],[Accounting]]*Four_Semester_SGPA[[#This Row],[Accounting Credit]]</f>
        <v>9</v>
      </c>
      <c r="F32" s="28" t="str">
        <f t="shared" si="4"/>
        <v>3.25</v>
      </c>
      <c r="G32" s="93">
        <v>3</v>
      </c>
      <c r="H32" s="103">
        <f>Four_Semester_SGPA[[#This Row],[Office Solution Development]]*Four_Semester_SGPA[[#This Row],[Office Solution Development Credit]]</f>
        <v>9.75</v>
      </c>
      <c r="I32" s="28" t="str">
        <f t="shared" si="5"/>
        <v>0.00</v>
      </c>
      <c r="J32" s="93">
        <v>3</v>
      </c>
      <c r="K32" s="103">
        <f>Four_Semester_SGPA[[#This Row],[Algorithm]]*Four_Semester_SGPA[[#This Row],[Algorithm Credit]]</f>
        <v>0</v>
      </c>
      <c r="L32" s="28" t="str">
        <f t="shared" si="1"/>
        <v>3.00</v>
      </c>
      <c r="M32" s="93">
        <v>1</v>
      </c>
      <c r="N32" s="103">
        <f>Four_Semester_SGPA[[#This Row],[Algorithm Lab]]*Four_Semester_SGPA[[#This Row],[Algorithm Lab Credit]]</f>
        <v>3</v>
      </c>
      <c r="O32" s="103">
        <f t="shared" si="2"/>
        <v>21.75</v>
      </c>
      <c r="P32" s="103">
        <f>SUM(D32,G32,J32,M32)</f>
        <v>10</v>
      </c>
      <c r="Q32" s="28">
        <f>Four_Semester_SGPA[[#This Row],[Total Subject (Total Grade + Credit)]]/Four_Semester_SGPA[[#This Row],[Total Subject Credit]]</f>
        <v>2.1749999999999998</v>
      </c>
    </row>
    <row r="33" spans="1:17" x14ac:dyDescent="0.25">
      <c r="A33" s="93" t="s">
        <v>15</v>
      </c>
      <c r="B33" s="98" t="s">
        <v>40</v>
      </c>
      <c r="C33" s="28" t="str">
        <f t="shared" si="0"/>
        <v>3.50</v>
      </c>
      <c r="D33" s="93">
        <v>3</v>
      </c>
      <c r="E33" s="103">
        <f>Four_Semester_SGPA[[#This Row],[Accounting]]*Four_Semester_SGPA[[#This Row],[Accounting Credit]]</f>
        <v>10.5</v>
      </c>
      <c r="F33" s="28" t="str">
        <f t="shared" si="4"/>
        <v>2.25</v>
      </c>
      <c r="G33" s="93">
        <v>3</v>
      </c>
      <c r="H33" s="103">
        <f>Four_Semester_SGPA[[#This Row],[Office Solution Development]]*Four_Semester_SGPA[[#This Row],[Office Solution Development Credit]]</f>
        <v>6.75</v>
      </c>
      <c r="I33" s="28" t="str">
        <f t="shared" si="5"/>
        <v>3.00</v>
      </c>
      <c r="J33" s="93">
        <v>3</v>
      </c>
      <c r="K33" s="103">
        <f>Four_Semester_SGPA[[#This Row],[Algorithm]]*Four_Semester_SGPA[[#This Row],[Algorithm Credit]]</f>
        <v>9</v>
      </c>
      <c r="L33" s="28" t="str">
        <f t="shared" si="1"/>
        <v>0.00</v>
      </c>
      <c r="M33" s="93">
        <v>1</v>
      </c>
      <c r="N33" s="103">
        <f>Four_Semester_SGPA[[#This Row],[Algorithm Lab]]*Four_Semester_SGPA[[#This Row],[Algorithm Lab Credit]]</f>
        <v>0</v>
      </c>
      <c r="O33" s="103">
        <f t="shared" si="2"/>
        <v>26.25</v>
      </c>
      <c r="P33" s="103">
        <f>SUM(D33,G33,J33,M33)</f>
        <v>10</v>
      </c>
      <c r="Q33" s="28">
        <f>Four_Semester_SGPA[[#This Row],[Total Subject (Total Grade + Credit)]]/Four_Semester_SGPA[[#This Row],[Total Subject Credit]]</f>
        <v>2.625</v>
      </c>
    </row>
    <row r="34" spans="1:17" x14ac:dyDescent="0.25">
      <c r="A34" s="208" t="s">
        <v>16</v>
      </c>
      <c r="B34" s="207" t="s">
        <v>31</v>
      </c>
      <c r="C34" s="209"/>
      <c r="D34" s="208"/>
      <c r="E34" s="208"/>
      <c r="F34" s="209"/>
      <c r="G34" s="208"/>
      <c r="H34" s="208"/>
      <c r="I34" s="209"/>
      <c r="J34" s="208"/>
      <c r="K34" s="208"/>
      <c r="L34" s="209"/>
      <c r="M34" s="208"/>
      <c r="N34" s="208"/>
      <c r="O34" s="208"/>
      <c r="P34" s="208"/>
      <c r="Q34" s="209"/>
    </row>
    <row r="35" spans="1:17" x14ac:dyDescent="0.25">
      <c r="A35" s="93" t="s">
        <v>17</v>
      </c>
      <c r="B35" s="98" t="s">
        <v>41</v>
      </c>
      <c r="C35" s="28" t="str">
        <f t="shared" si="0"/>
        <v>3.00</v>
      </c>
      <c r="D35" s="93">
        <v>3</v>
      </c>
      <c r="E35" s="103">
        <f>Four_Semester_SGPA[[#This Row],[Accounting]]*Four_Semester_SGPA[[#This Row],[Accounting Credit]]</f>
        <v>9</v>
      </c>
      <c r="F35" s="28" t="str">
        <f t="shared" si="4"/>
        <v>2.50</v>
      </c>
      <c r="G35" s="93">
        <v>3</v>
      </c>
      <c r="H35" s="103">
        <f>Four_Semester_SGPA[[#This Row],[Office Solution Development]]*Four_Semester_SGPA[[#This Row],[Office Solution Development Credit]]</f>
        <v>7.5</v>
      </c>
      <c r="I35" s="28" t="str">
        <f t="shared" si="5"/>
        <v>2.50</v>
      </c>
      <c r="J35" s="93">
        <v>3</v>
      </c>
      <c r="K35" s="103">
        <f>Four_Semester_SGPA[[#This Row],[Algorithm]]*Four_Semester_SGPA[[#This Row],[Algorithm Credit]]</f>
        <v>7.5</v>
      </c>
      <c r="L35" s="28" t="str">
        <f t="shared" si="1"/>
        <v>0.00</v>
      </c>
      <c r="M35" s="93">
        <v>1</v>
      </c>
      <c r="N35" s="103">
        <f>Four_Semester_SGPA[[#This Row],[Algorithm Lab]]*Four_Semester_SGPA[[#This Row],[Algorithm Lab Credit]]</f>
        <v>0</v>
      </c>
      <c r="O35" s="103">
        <f t="shared" si="2"/>
        <v>24</v>
      </c>
      <c r="P35" s="103">
        <f t="shared" ref="P35:P44" si="6">SUM(D35,G35,J35,M35)</f>
        <v>10</v>
      </c>
      <c r="Q35" s="28">
        <f>Four_Semester_SGPA[[#This Row],[Total Subject (Total Grade + Credit)]]/Four_Semester_SGPA[[#This Row],[Total Subject Credit]]</f>
        <v>2.4</v>
      </c>
    </row>
    <row r="36" spans="1:17" x14ac:dyDescent="0.25">
      <c r="A36" s="93" t="s">
        <v>18</v>
      </c>
      <c r="B36" s="98" t="s">
        <v>42</v>
      </c>
      <c r="C36" s="28" t="str">
        <f t="shared" si="0"/>
        <v>2.25</v>
      </c>
      <c r="D36" s="93">
        <v>3</v>
      </c>
      <c r="E36" s="103">
        <f>Four_Semester_SGPA[[#This Row],[Accounting]]*Four_Semester_SGPA[[#This Row],[Accounting Credit]]</f>
        <v>6.75</v>
      </c>
      <c r="F36" s="28" t="str">
        <f t="shared" si="4"/>
        <v>2.75</v>
      </c>
      <c r="G36" s="93">
        <v>3</v>
      </c>
      <c r="H36" s="103">
        <f>Four_Semester_SGPA[[#This Row],[Office Solution Development]]*Four_Semester_SGPA[[#This Row],[Office Solution Development Credit]]</f>
        <v>8.25</v>
      </c>
      <c r="I36" s="28" t="str">
        <f t="shared" si="5"/>
        <v>2.75</v>
      </c>
      <c r="J36" s="93">
        <v>3</v>
      </c>
      <c r="K36" s="103">
        <f>Four_Semester_SGPA[[#This Row],[Algorithm]]*Four_Semester_SGPA[[#This Row],[Algorithm Credit]]</f>
        <v>8.25</v>
      </c>
      <c r="L36" s="28" t="str">
        <f t="shared" si="1"/>
        <v>0.00</v>
      </c>
      <c r="M36" s="93">
        <v>1</v>
      </c>
      <c r="N36" s="103">
        <f>Four_Semester_SGPA[[#This Row],[Algorithm Lab]]*Four_Semester_SGPA[[#This Row],[Algorithm Lab Credit]]</f>
        <v>0</v>
      </c>
      <c r="O36" s="103">
        <f t="shared" si="2"/>
        <v>23.25</v>
      </c>
      <c r="P36" s="103">
        <f t="shared" si="6"/>
        <v>10</v>
      </c>
      <c r="Q36" s="28">
        <f>Four_Semester_SGPA[[#This Row],[Total Subject (Total Grade + Credit)]]/Four_Semester_SGPA[[#This Row],[Total Subject Credit]]</f>
        <v>2.3250000000000002</v>
      </c>
    </row>
    <row r="37" spans="1:17" x14ac:dyDescent="0.25">
      <c r="A37" s="93" t="s">
        <v>19</v>
      </c>
      <c r="B37" s="98" t="s">
        <v>43</v>
      </c>
      <c r="C37" s="28" t="str">
        <f t="shared" si="0"/>
        <v>3.50</v>
      </c>
      <c r="D37" s="93">
        <v>3</v>
      </c>
      <c r="E37" s="103">
        <f>Four_Semester_SGPA[[#This Row],[Accounting]]*Four_Semester_SGPA[[#This Row],[Accounting Credit]]</f>
        <v>10.5</v>
      </c>
      <c r="F37" s="28" t="str">
        <f t="shared" si="4"/>
        <v>2.25</v>
      </c>
      <c r="G37" s="93">
        <v>3</v>
      </c>
      <c r="H37" s="103">
        <f>Four_Semester_SGPA[[#This Row],[Office Solution Development]]*Four_Semester_SGPA[[#This Row],[Office Solution Development Credit]]</f>
        <v>6.75</v>
      </c>
      <c r="I37" s="28" t="str">
        <f t="shared" si="5"/>
        <v>3.25</v>
      </c>
      <c r="J37" s="93">
        <v>3</v>
      </c>
      <c r="K37" s="103">
        <f>Four_Semester_SGPA[[#This Row],[Algorithm]]*Four_Semester_SGPA[[#This Row],[Algorithm Credit]]</f>
        <v>9.75</v>
      </c>
      <c r="L37" s="28" t="str">
        <f t="shared" si="1"/>
        <v>3.50</v>
      </c>
      <c r="M37" s="93">
        <v>1</v>
      </c>
      <c r="N37" s="103">
        <f>Four_Semester_SGPA[[#This Row],[Algorithm Lab]]*Four_Semester_SGPA[[#This Row],[Algorithm Lab Credit]]</f>
        <v>3.5</v>
      </c>
      <c r="O37" s="103">
        <f t="shared" si="2"/>
        <v>30.5</v>
      </c>
      <c r="P37" s="103">
        <f t="shared" si="6"/>
        <v>10</v>
      </c>
      <c r="Q37" s="28">
        <f>Four_Semester_SGPA[[#This Row],[Total Subject (Total Grade + Credit)]]/Four_Semester_SGPA[[#This Row],[Total Subject Credit]]</f>
        <v>3.05</v>
      </c>
    </row>
    <row r="38" spans="1:17" x14ac:dyDescent="0.25">
      <c r="A38" s="93" t="s">
        <v>23</v>
      </c>
      <c r="B38" s="98" t="s">
        <v>44</v>
      </c>
      <c r="C38" s="28" t="str">
        <f t="shared" si="0"/>
        <v>2.25</v>
      </c>
      <c r="D38" s="93">
        <v>3</v>
      </c>
      <c r="E38" s="103">
        <f>Four_Semester_SGPA[[#This Row],[Accounting]]*Four_Semester_SGPA[[#This Row],[Accounting Credit]]</f>
        <v>6.75</v>
      </c>
      <c r="F38" s="28" t="str">
        <f t="shared" si="4"/>
        <v>3.00</v>
      </c>
      <c r="G38" s="93">
        <v>3</v>
      </c>
      <c r="H38" s="103">
        <f>Four_Semester_SGPA[[#This Row],[Office Solution Development]]*Four_Semester_SGPA[[#This Row],[Office Solution Development Credit]]</f>
        <v>9</v>
      </c>
      <c r="I38" s="28" t="str">
        <f t="shared" si="5"/>
        <v>3.00</v>
      </c>
      <c r="J38" s="93">
        <v>3</v>
      </c>
      <c r="K38" s="103">
        <f>Four_Semester_SGPA[[#This Row],[Algorithm]]*Four_Semester_SGPA[[#This Row],[Algorithm Credit]]</f>
        <v>9</v>
      </c>
      <c r="L38" s="28" t="str">
        <f t="shared" si="1"/>
        <v>2.75</v>
      </c>
      <c r="M38" s="93">
        <v>1</v>
      </c>
      <c r="N38" s="103">
        <f>Four_Semester_SGPA[[#This Row],[Algorithm Lab]]*Four_Semester_SGPA[[#This Row],[Algorithm Lab Credit]]</f>
        <v>2.75</v>
      </c>
      <c r="O38" s="103">
        <f t="shared" si="2"/>
        <v>27.5</v>
      </c>
      <c r="P38" s="103">
        <f t="shared" si="6"/>
        <v>10</v>
      </c>
      <c r="Q38" s="28">
        <f>Four_Semester_SGPA[[#This Row],[Total Subject (Total Grade + Credit)]]/Four_Semester_SGPA[[#This Row],[Total Subject Credit]]</f>
        <v>2.75</v>
      </c>
    </row>
    <row r="39" spans="1:17" x14ac:dyDescent="0.25">
      <c r="A39" s="93" t="s">
        <v>24</v>
      </c>
      <c r="B39" s="98" t="s">
        <v>45</v>
      </c>
      <c r="C39" s="28" t="str">
        <f t="shared" si="0"/>
        <v>3.00</v>
      </c>
      <c r="D39" s="93">
        <v>3</v>
      </c>
      <c r="E39" s="103">
        <f>Four_Semester_SGPA[[#This Row],[Accounting]]*Four_Semester_SGPA[[#This Row],[Accounting Credit]]</f>
        <v>9</v>
      </c>
      <c r="F39" s="28" t="str">
        <f t="shared" si="4"/>
        <v>2.50</v>
      </c>
      <c r="G39" s="93">
        <v>3</v>
      </c>
      <c r="H39" s="103">
        <f>Four_Semester_SGPA[[#This Row],[Office Solution Development]]*Four_Semester_SGPA[[#This Row],[Office Solution Development Credit]]</f>
        <v>7.5</v>
      </c>
      <c r="I39" s="28" t="str">
        <f t="shared" si="5"/>
        <v>2.00</v>
      </c>
      <c r="J39" s="93">
        <v>3</v>
      </c>
      <c r="K39" s="103">
        <f>Four_Semester_SGPA[[#This Row],[Algorithm]]*Four_Semester_SGPA[[#This Row],[Algorithm Credit]]</f>
        <v>6</v>
      </c>
      <c r="L39" s="28" t="str">
        <f t="shared" si="1"/>
        <v>2.50</v>
      </c>
      <c r="M39" s="93">
        <v>1</v>
      </c>
      <c r="N39" s="103">
        <f>Four_Semester_SGPA[[#This Row],[Algorithm Lab]]*Four_Semester_SGPA[[#This Row],[Algorithm Lab Credit]]</f>
        <v>2.5</v>
      </c>
      <c r="O39" s="103">
        <f t="shared" si="2"/>
        <v>25</v>
      </c>
      <c r="P39" s="103">
        <f t="shared" si="6"/>
        <v>10</v>
      </c>
      <c r="Q39" s="28">
        <f>Four_Semester_SGPA[[#This Row],[Total Subject (Total Grade + Credit)]]/Four_Semester_SGPA[[#This Row],[Total Subject Credit]]</f>
        <v>2.5</v>
      </c>
    </row>
    <row r="40" spans="1:17" x14ac:dyDescent="0.25">
      <c r="A40" s="93" t="s">
        <v>25</v>
      </c>
      <c r="B40" s="98" t="s">
        <v>46</v>
      </c>
      <c r="C40" s="28" t="str">
        <f t="shared" si="0"/>
        <v>2.25</v>
      </c>
      <c r="D40" s="93">
        <v>3</v>
      </c>
      <c r="E40" s="103">
        <f>Four_Semester_SGPA[[#This Row],[Accounting]]*Four_Semester_SGPA[[#This Row],[Accounting Credit]]</f>
        <v>6.75</v>
      </c>
      <c r="F40" s="28" t="str">
        <f t="shared" si="4"/>
        <v>3.25</v>
      </c>
      <c r="G40" s="93">
        <v>3</v>
      </c>
      <c r="H40" s="103">
        <f>Four_Semester_SGPA[[#This Row],[Office Solution Development]]*Four_Semester_SGPA[[#This Row],[Office Solution Development Credit]]</f>
        <v>9.75</v>
      </c>
      <c r="I40" s="28" t="str">
        <f t="shared" si="5"/>
        <v>2.75</v>
      </c>
      <c r="J40" s="93">
        <v>3</v>
      </c>
      <c r="K40" s="103">
        <f>Four_Semester_SGPA[[#This Row],[Algorithm]]*Four_Semester_SGPA[[#This Row],[Algorithm Credit]]</f>
        <v>8.25</v>
      </c>
      <c r="L40" s="28" t="str">
        <f t="shared" si="1"/>
        <v>2.00</v>
      </c>
      <c r="M40" s="93">
        <v>1</v>
      </c>
      <c r="N40" s="103">
        <f>Four_Semester_SGPA[[#This Row],[Algorithm Lab]]*Four_Semester_SGPA[[#This Row],[Algorithm Lab Credit]]</f>
        <v>2</v>
      </c>
      <c r="O40" s="103">
        <f t="shared" si="2"/>
        <v>26.75</v>
      </c>
      <c r="P40" s="103">
        <f t="shared" si="6"/>
        <v>10</v>
      </c>
      <c r="Q40" s="28">
        <f>Four_Semester_SGPA[[#This Row],[Total Subject (Total Grade + Credit)]]/Four_Semester_SGPA[[#This Row],[Total Subject Credit]]</f>
        <v>2.6749999999999998</v>
      </c>
    </row>
    <row r="41" spans="1:17" x14ac:dyDescent="0.25">
      <c r="A41" s="93" t="s">
        <v>26</v>
      </c>
      <c r="B41" s="98" t="s">
        <v>47</v>
      </c>
      <c r="C41" s="28" t="str">
        <f t="shared" si="0"/>
        <v>2.50</v>
      </c>
      <c r="D41" s="93">
        <v>3</v>
      </c>
      <c r="E41" s="103">
        <f>Four_Semester_SGPA[[#This Row],[Accounting]]*Four_Semester_SGPA[[#This Row],[Accounting Credit]]</f>
        <v>7.5</v>
      </c>
      <c r="F41" s="28" t="str">
        <f t="shared" si="4"/>
        <v>3.25</v>
      </c>
      <c r="G41" s="93">
        <v>3</v>
      </c>
      <c r="H41" s="103">
        <f>Four_Semester_SGPA[[#This Row],[Office Solution Development]]*Four_Semester_SGPA[[#This Row],[Office Solution Development Credit]]</f>
        <v>9.75</v>
      </c>
      <c r="I41" s="28" t="str">
        <f t="shared" si="5"/>
        <v>0.00</v>
      </c>
      <c r="J41" s="93">
        <v>3</v>
      </c>
      <c r="K41" s="103">
        <f>Four_Semester_SGPA[[#This Row],[Algorithm]]*Four_Semester_SGPA[[#This Row],[Algorithm Credit]]</f>
        <v>0</v>
      </c>
      <c r="L41" s="28" t="str">
        <f t="shared" si="1"/>
        <v>0.00</v>
      </c>
      <c r="M41" s="93">
        <v>1</v>
      </c>
      <c r="N41" s="103">
        <f>Four_Semester_SGPA[[#This Row],[Algorithm Lab]]*Four_Semester_SGPA[[#This Row],[Algorithm Lab Credit]]</f>
        <v>0</v>
      </c>
      <c r="O41" s="103">
        <f t="shared" si="2"/>
        <v>17.25</v>
      </c>
      <c r="P41" s="103">
        <f t="shared" si="6"/>
        <v>10</v>
      </c>
      <c r="Q41" s="28">
        <f>Four_Semester_SGPA[[#This Row],[Total Subject (Total Grade + Credit)]]/Four_Semester_SGPA[[#This Row],[Total Subject Credit]]</f>
        <v>1.7250000000000001</v>
      </c>
    </row>
    <row r="42" spans="1:17" x14ac:dyDescent="0.25">
      <c r="A42" s="93" t="s">
        <v>50</v>
      </c>
      <c r="B42" s="98" t="s">
        <v>51</v>
      </c>
      <c r="C42" s="28" t="str">
        <f t="shared" si="0"/>
        <v>2.75</v>
      </c>
      <c r="D42" s="93">
        <v>3</v>
      </c>
      <c r="E42" s="103">
        <f>Four_Semester_SGPA[[#This Row],[Accounting]]*Four_Semester_SGPA[[#This Row],[Accounting Credit]]</f>
        <v>8.25</v>
      </c>
      <c r="F42" s="28" t="str">
        <f t="shared" si="4"/>
        <v>4.00</v>
      </c>
      <c r="G42" s="93">
        <v>3</v>
      </c>
      <c r="H42" s="103">
        <f>Four_Semester_SGPA[[#This Row],[Office Solution Development]]*Four_Semester_SGPA[[#This Row],[Office Solution Development Credit]]</f>
        <v>12</v>
      </c>
      <c r="I42" s="28" t="str">
        <f t="shared" si="5"/>
        <v>2.25</v>
      </c>
      <c r="J42" s="93">
        <v>3</v>
      </c>
      <c r="K42" s="103">
        <f>Four_Semester_SGPA[[#This Row],[Algorithm]]*Four_Semester_SGPA[[#This Row],[Algorithm Credit]]</f>
        <v>6.75</v>
      </c>
      <c r="L42" s="28" t="str">
        <f t="shared" si="1"/>
        <v>0.00</v>
      </c>
      <c r="M42" s="93">
        <v>1</v>
      </c>
      <c r="N42" s="103">
        <f>Four_Semester_SGPA[[#This Row],[Algorithm Lab]]*Four_Semester_SGPA[[#This Row],[Algorithm Lab Credit]]</f>
        <v>0</v>
      </c>
      <c r="O42" s="103">
        <f t="shared" si="2"/>
        <v>27</v>
      </c>
      <c r="P42" s="103">
        <f t="shared" si="6"/>
        <v>10</v>
      </c>
      <c r="Q42" s="28">
        <f>Four_Semester_SGPA[[#This Row],[Total Subject (Total Grade + Credit)]]/Four_Semester_SGPA[[#This Row],[Total Subject Credit]]</f>
        <v>2.7</v>
      </c>
    </row>
    <row r="43" spans="1:17" x14ac:dyDescent="0.25">
      <c r="A43" s="93" t="s">
        <v>53</v>
      </c>
      <c r="B43" s="98" t="s">
        <v>54</v>
      </c>
      <c r="C43" s="28" t="str">
        <f t="shared" si="0"/>
        <v>2.75</v>
      </c>
      <c r="D43" s="93">
        <v>3</v>
      </c>
      <c r="E43" s="103">
        <f>Four_Semester_SGPA[[#This Row],[Accounting]]*Four_Semester_SGPA[[#This Row],[Accounting Credit]]</f>
        <v>8.25</v>
      </c>
      <c r="F43" s="28" t="str">
        <f t="shared" si="4"/>
        <v>0.00</v>
      </c>
      <c r="G43" s="93">
        <v>3</v>
      </c>
      <c r="H43" s="103">
        <f>Four_Semester_SGPA[[#This Row],[Office Solution Development]]*Four_Semester_SGPA[[#This Row],[Office Solution Development Credit]]</f>
        <v>0</v>
      </c>
      <c r="I43" s="28" t="str">
        <f t="shared" si="5"/>
        <v>2.50</v>
      </c>
      <c r="J43" s="93">
        <v>3</v>
      </c>
      <c r="K43" s="103">
        <f>Four_Semester_SGPA[[#This Row],[Algorithm]]*Four_Semester_SGPA[[#This Row],[Algorithm Credit]]</f>
        <v>7.5</v>
      </c>
      <c r="L43" s="28" t="str">
        <f t="shared" si="1"/>
        <v>2.00</v>
      </c>
      <c r="M43" s="93">
        <v>1</v>
      </c>
      <c r="N43" s="103">
        <f>Four_Semester_SGPA[[#This Row],[Algorithm Lab]]*Four_Semester_SGPA[[#This Row],[Algorithm Lab Credit]]</f>
        <v>2</v>
      </c>
      <c r="O43" s="103">
        <f t="shared" si="2"/>
        <v>17.75</v>
      </c>
      <c r="P43" s="103">
        <f t="shared" si="6"/>
        <v>10</v>
      </c>
      <c r="Q43" s="28">
        <f>Four_Semester_SGPA[[#This Row],[Total Subject (Total Grade + Credit)]]/Four_Semester_SGPA[[#This Row],[Total Subject Credit]]</f>
        <v>1.7749999999999999</v>
      </c>
    </row>
    <row r="44" spans="1:17" x14ac:dyDescent="0.25">
      <c r="A44" s="93" t="s">
        <v>60</v>
      </c>
      <c r="B44" s="98" t="s">
        <v>61</v>
      </c>
      <c r="C44" s="28" t="str">
        <f t="shared" si="0"/>
        <v>2.25</v>
      </c>
      <c r="D44" s="93">
        <v>3</v>
      </c>
      <c r="E44" s="103">
        <f>Four_Semester_SGPA[[#This Row],[Accounting]]*Four_Semester_SGPA[[#This Row],[Accounting Credit]]</f>
        <v>6.75</v>
      </c>
      <c r="F44" s="28" t="str">
        <f t="shared" si="4"/>
        <v>2.75</v>
      </c>
      <c r="G44" s="93">
        <v>3</v>
      </c>
      <c r="H44" s="103">
        <f>Four_Semester_SGPA[[#This Row],[Office Solution Development]]*Four_Semester_SGPA[[#This Row],[Office Solution Development Credit]]</f>
        <v>8.25</v>
      </c>
      <c r="I44" s="28" t="str">
        <f t="shared" si="5"/>
        <v>2.75</v>
      </c>
      <c r="J44" s="93">
        <v>3</v>
      </c>
      <c r="K44" s="103">
        <f>Four_Semester_SGPA[[#This Row],[Algorithm]]*Four_Semester_SGPA[[#This Row],[Algorithm Credit]]</f>
        <v>8.25</v>
      </c>
      <c r="L44" s="28" t="str">
        <f t="shared" si="1"/>
        <v>2.50</v>
      </c>
      <c r="M44" s="93">
        <v>1</v>
      </c>
      <c r="N44" s="103">
        <f>Four_Semester_SGPA[[#This Row],[Algorithm Lab]]*Four_Semester_SGPA[[#This Row],[Algorithm Lab Credit]]</f>
        <v>2.5</v>
      </c>
      <c r="O44" s="103">
        <f t="shared" si="2"/>
        <v>25.75</v>
      </c>
      <c r="P44" s="103">
        <f t="shared" si="6"/>
        <v>10</v>
      </c>
      <c r="Q44" s="28">
        <f>Four_Semester_SGPA[[#This Row],[Total Subject (Total Grade + Credit)]]/Four_Semester_SGPA[[#This Row],[Total Subject Credit]]</f>
        <v>2.5750000000000002</v>
      </c>
    </row>
    <row r="56" spans="1:20" x14ac:dyDescent="0.25">
      <c r="R56" s="9"/>
      <c r="S56" s="9"/>
    </row>
    <row r="57" spans="1:20" x14ac:dyDescent="0.25">
      <c r="R57" s="9"/>
      <c r="S57" s="9"/>
    </row>
    <row r="58" spans="1:20" x14ac:dyDescent="0.25">
      <c r="R58" s="9"/>
      <c r="S58" s="9"/>
    </row>
    <row r="59" spans="1:20" ht="15" customHeight="1" x14ac:dyDescent="0.25">
      <c r="A59" s="67"/>
      <c r="B59" s="67"/>
      <c r="C59" s="67"/>
      <c r="D59" s="67"/>
      <c r="E59" s="67"/>
      <c r="F59" s="67"/>
      <c r="G59" s="67"/>
      <c r="H59" s="67"/>
      <c r="I59" s="67"/>
      <c r="J59" s="67"/>
      <c r="K59" s="67"/>
      <c r="L59" s="67"/>
      <c r="M59" s="67"/>
      <c r="N59" s="67"/>
      <c r="O59" s="67"/>
      <c r="P59" s="67"/>
      <c r="Q59" s="67"/>
      <c r="R59" s="67"/>
      <c r="S59" s="67"/>
      <c r="T59" s="67"/>
    </row>
    <row r="60" spans="1:20" s="58" customFormat="1" ht="27" customHeight="1" x14ac:dyDescent="0.25">
      <c r="A60" s="293" t="s">
        <v>163</v>
      </c>
      <c r="B60" s="293"/>
      <c r="C60" s="56" t="s">
        <v>165</v>
      </c>
      <c r="D60" s="56"/>
      <c r="E60" s="56"/>
      <c r="F60" s="294" t="s">
        <v>117</v>
      </c>
      <c r="G60" s="294"/>
      <c r="H60" s="294"/>
      <c r="I60" s="294"/>
      <c r="J60" s="294"/>
      <c r="K60" s="294"/>
      <c r="L60" s="294"/>
      <c r="M60" s="56"/>
      <c r="N60" s="56"/>
      <c r="O60" s="56"/>
      <c r="P60" s="56"/>
      <c r="Q60" s="56"/>
      <c r="R60" s="56"/>
      <c r="S60" s="64" t="s">
        <v>167</v>
      </c>
      <c r="T60" s="65">
        <v>44679</v>
      </c>
    </row>
    <row r="61" spans="1:20" ht="27" customHeight="1" thickBot="1" x14ac:dyDescent="0.3">
      <c r="A61" s="296" t="s">
        <v>164</v>
      </c>
      <c r="B61" s="296"/>
      <c r="C61" s="63" t="s">
        <v>166</v>
      </c>
      <c r="D61" s="63"/>
      <c r="E61" s="62"/>
      <c r="F61" s="295"/>
      <c r="G61" s="295"/>
      <c r="H61" s="295"/>
      <c r="I61" s="295"/>
      <c r="J61" s="295"/>
      <c r="K61" s="295"/>
      <c r="L61" s="295"/>
      <c r="M61" s="32"/>
      <c r="N61" s="32"/>
      <c r="O61" s="32"/>
      <c r="P61" s="32"/>
      <c r="Q61" s="32"/>
      <c r="R61" s="32"/>
      <c r="S61" s="61" t="s">
        <v>168</v>
      </c>
      <c r="T61" s="66">
        <v>0.91666666666666663</v>
      </c>
    </row>
    <row r="62" spans="1:20" x14ac:dyDescent="0.25">
      <c r="A62" s="58" t="s">
        <v>0</v>
      </c>
      <c r="B62" s="57" t="s">
        <v>20</v>
      </c>
      <c r="C62" s="93" t="s">
        <v>132</v>
      </c>
      <c r="D62" s="93" t="s">
        <v>133</v>
      </c>
      <c r="E62" s="93" t="s">
        <v>134</v>
      </c>
      <c r="F62" s="93" t="s">
        <v>135</v>
      </c>
      <c r="G62" s="27" t="s">
        <v>136</v>
      </c>
      <c r="H62" s="93" t="s">
        <v>137</v>
      </c>
      <c r="I62" s="98" t="s">
        <v>138</v>
      </c>
      <c r="J62" s="98" t="s">
        <v>139</v>
      </c>
      <c r="K62" s="103" t="s">
        <v>140</v>
      </c>
      <c r="L62" s="74" t="s">
        <v>141</v>
      </c>
      <c r="M62" s="93" t="s">
        <v>143</v>
      </c>
      <c r="N62" s="93" t="s">
        <v>144</v>
      </c>
      <c r="O62" s="103" t="s">
        <v>145</v>
      </c>
      <c r="P62" s="33" t="s">
        <v>146</v>
      </c>
      <c r="Q62" s="75" t="s">
        <v>147</v>
      </c>
      <c r="R62" s="48" t="s">
        <v>148</v>
      </c>
      <c r="S62" s="48" t="s">
        <v>149</v>
      </c>
      <c r="T62" s="60" t="s">
        <v>150</v>
      </c>
    </row>
    <row r="63" spans="1:20" s="21" customFormat="1" x14ac:dyDescent="0.25">
      <c r="A63" s="15"/>
      <c r="B63" s="49" t="s">
        <v>142</v>
      </c>
      <c r="C63" s="50">
        <v>15</v>
      </c>
      <c r="D63" s="50">
        <v>15</v>
      </c>
      <c r="E63" s="50">
        <v>15</v>
      </c>
      <c r="F63" s="51">
        <v>15</v>
      </c>
      <c r="G63" s="52">
        <v>15</v>
      </c>
      <c r="H63" s="50">
        <v>5</v>
      </c>
      <c r="I63" s="50">
        <v>8</v>
      </c>
      <c r="J63" s="50">
        <v>7</v>
      </c>
      <c r="K63" s="51">
        <v>20</v>
      </c>
      <c r="L63" s="52">
        <v>20</v>
      </c>
      <c r="M63" s="50">
        <v>25</v>
      </c>
      <c r="N63" s="50">
        <v>40</v>
      </c>
      <c r="O63" s="53">
        <v>65</v>
      </c>
      <c r="P63" s="54">
        <v>65</v>
      </c>
      <c r="Q63" s="55">
        <v>100</v>
      </c>
      <c r="R63" s="55" t="s">
        <v>151</v>
      </c>
      <c r="S63" s="54" t="s">
        <v>152</v>
      </c>
      <c r="T63" s="54" t="s">
        <v>153</v>
      </c>
    </row>
    <row r="64" spans="1:20" x14ac:dyDescent="0.25">
      <c r="A64" s="1" t="s">
        <v>57</v>
      </c>
      <c r="B64" s="29" t="s">
        <v>58</v>
      </c>
      <c r="C64" s="28">
        <v>14</v>
      </c>
      <c r="D64" s="28">
        <v>1</v>
      </c>
      <c r="E64" s="28">
        <v>7</v>
      </c>
      <c r="F64" s="28">
        <f>(((SUM(Four_Semester_Accounting[[#This Row],[Quiz 1]:[Quiz 3]]))/SUM($C$63:$E$63))*$F$63)</f>
        <v>7.333333333333333</v>
      </c>
      <c r="G64" s="27">
        <f>ROUND(Four_Semester_Accounting[[#This Row],[Quiz Average]],0)</f>
        <v>7</v>
      </c>
      <c r="H64" s="31">
        <v>4</v>
      </c>
      <c r="I64" s="31">
        <v>4</v>
      </c>
      <c r="J64" s="31">
        <v>3</v>
      </c>
      <c r="K64" s="93">
        <f>SUM(Four_Semester_Accounting[[#This Row],[Assignment]:[Attendance]])</f>
        <v>11</v>
      </c>
      <c r="L64" s="27">
        <f>ROUND(Four_Semester_Accounting[[#This Row],[Total out of APA]],0)</f>
        <v>11</v>
      </c>
      <c r="M64" s="28">
        <v>3.5</v>
      </c>
      <c r="N64" s="28">
        <v>13.5</v>
      </c>
      <c r="O64" s="28">
        <f>SUM(Four_Semester_Accounting[[#This Row],[Midterm]:[Final]])</f>
        <v>17</v>
      </c>
      <c r="P64" s="42">
        <f>ROUND(Four_Semester_Accounting[[#This Row],[Mid &amp; Final]],0)</f>
        <v>17</v>
      </c>
      <c r="Q64" s="42">
        <f>SUM(G64,L64,P64)</f>
        <v>35</v>
      </c>
      <c r="R64" s="46" t="str">
        <f>IF(Q64&gt;79,"A+",IF(Q64&gt;74,"A",IF(Q64&gt;69,"A-",IF(Q64&gt;64,"B+",IF(Q64&gt;59,"B",IF(Q64&gt;54,"B-",IF(Q64&gt;49,"C+",IF(Q64&gt;44,"C",IF(Q64&gt;39,"D",IF(Q64&gt;0,"F","N/A"))))))))))</f>
        <v>F</v>
      </c>
      <c r="S64" s="44" t="str">
        <f>IF(Q64&gt;79,"4.00",IF(Q64&gt;74,"3.75",IF(Q64&gt;69,"3.50",IF(Q64&gt;64,"3.25",IF(Q64&gt;59,"3.00",IF(Q64&gt;54,"2.75",IF(Q64&gt;49,"2.50",IF(Q64&gt;44,"2.25",IF(Q64&gt;39,"2.00",IF(Q64&gt;0,"0.00","N/A"))))))))))</f>
        <v>0.00</v>
      </c>
      <c r="T64" s="34" t="str">
        <f>IF(Q64&gt;79,"Outstanding",IF(Q64&gt;74,"Excellent",IF(Q64&gt;69,"Very Good",IF(Q64&gt;64,"Good",IF(Q64&gt;59,"Satisfactory",IF(Q64&gt;54,"Above Average",IF(Q64&gt;49,"Average",IF(Q64&gt;44,"Bellow Average",IF(Q64&gt;39,"Pass",IF(Q64&gt;0,"Fail","N/A"))))))))))</f>
        <v>Fail</v>
      </c>
    </row>
    <row r="65" spans="1:24" x14ac:dyDescent="0.25">
      <c r="A65" s="1" t="s">
        <v>56</v>
      </c>
      <c r="B65" s="29" t="s">
        <v>59</v>
      </c>
      <c r="C65" s="28">
        <v>11.666666666666666</v>
      </c>
      <c r="D65" s="28">
        <v>2</v>
      </c>
      <c r="E65" s="28">
        <v>2</v>
      </c>
      <c r="F65" s="28">
        <f>(((SUM(Four_Semester_Accounting[[#This Row],[Quiz 1]:[Quiz 3]]))/SUM($C$63:$E$63))*$F$63)</f>
        <v>5.2222222222222223</v>
      </c>
      <c r="G65" s="27">
        <f>ROUND(Four_Semester_Accounting[[#This Row],[Quiz Average]],0)</f>
        <v>5</v>
      </c>
      <c r="H65" s="31">
        <v>4</v>
      </c>
      <c r="I65" s="31">
        <v>6</v>
      </c>
      <c r="J65" s="31">
        <v>3</v>
      </c>
      <c r="K65" s="93">
        <f>SUM(Four_Semester_Accounting[[#This Row],[Assignment]:[Attendance]])</f>
        <v>13</v>
      </c>
      <c r="L65" s="27">
        <f>ROUND(Four_Semester_Accounting[[#This Row],[Total out of APA]],0)</f>
        <v>13</v>
      </c>
      <c r="M65" s="28">
        <v>5</v>
      </c>
      <c r="N65" s="28">
        <v>38</v>
      </c>
      <c r="O65" s="28">
        <f>SUM(Four_Semester_Accounting[[#This Row],[Midterm]:[Final]])</f>
        <v>43</v>
      </c>
      <c r="P65" s="42">
        <f>ROUND(Four_Semester_Accounting[[#This Row],[Mid &amp; Final]],0)</f>
        <v>43</v>
      </c>
      <c r="Q65" s="42">
        <f t="shared" ref="Q65:Q91" si="7">SUM(G65,L65,P65)</f>
        <v>61</v>
      </c>
      <c r="R65" s="46" t="str">
        <f t="shared" ref="R65:R91" si="8">IF(Q65&gt;79,"A+",IF(Q65&gt;74,"A",IF(Q65&gt;69,"A-",IF(Q65&gt;64,"B+",IF(Q65&gt;59,"B",IF(Q65&gt;54,"B-",IF(Q65&gt;49,"C+",IF(Q65&gt;44,"C",IF(Q65&gt;39,"D",IF(Q65&gt;0,"F","N/A"))))))))))</f>
        <v>B</v>
      </c>
      <c r="S65" s="44" t="str">
        <f t="shared" ref="S65:S91" si="9">IF(Q65&gt;79,"4.00",IF(Q65&gt;74,"3.75",IF(Q65&gt;69,"3.50",IF(Q65&gt;64,"3.25",IF(Q65&gt;59,"3.00",IF(Q65&gt;54,"2.75",IF(Q65&gt;49,"2.50",IF(Q65&gt;44,"2.25",IF(Q65&gt;39,"2.00",IF(Q65&gt;0,"0.00","N/A"))))))))))</f>
        <v>3.00</v>
      </c>
      <c r="T65" s="34" t="str">
        <f t="shared" ref="T65:T91" si="10">IF(Q65&gt;79,"Outstanding",IF(Q65&gt;74,"Excellent",IF(Q65&gt;69,"Very Good",IF(Q65&gt;64,"Good",IF(Q65&gt;59,"Satisfactory",IF(Q65&gt;54,"Above Average",IF(Q65&gt;49,"Average",IF(Q65&gt;44,"Bellow Average",IF(Q65&gt;39,"Pass",IF(Q65&gt;0,"Fail","N/A"))))))))))</f>
        <v>Satisfactory</v>
      </c>
    </row>
    <row r="66" spans="1:24" x14ac:dyDescent="0.25">
      <c r="A66" s="1" t="s">
        <v>1</v>
      </c>
      <c r="B66" s="29" t="s">
        <v>27</v>
      </c>
      <c r="C66" s="28">
        <v>2</v>
      </c>
      <c r="D66" s="28">
        <v>11</v>
      </c>
      <c r="E66" s="28">
        <v>8.6666666666666661</v>
      </c>
      <c r="F66" s="28">
        <f>(((SUM(Four_Semester_Accounting[[#This Row],[Quiz 1]:[Quiz 3]]))/SUM($C$63:$E$63))*$F$63)</f>
        <v>7.2222222222222214</v>
      </c>
      <c r="G66" s="27">
        <f>ROUND(Four_Semester_Accounting[[#This Row],[Quiz Average]],0)</f>
        <v>7</v>
      </c>
      <c r="H66" s="31">
        <v>2</v>
      </c>
      <c r="I66" s="31">
        <v>4</v>
      </c>
      <c r="J66" s="31">
        <v>4</v>
      </c>
      <c r="K66" s="93">
        <f>SUM(Four_Semester_Accounting[[#This Row],[Assignment]:[Attendance]])</f>
        <v>10</v>
      </c>
      <c r="L66" s="27">
        <f>ROUND(Four_Semester_Accounting[[#This Row],[Total out of APA]],0)</f>
        <v>10</v>
      </c>
      <c r="M66" s="28">
        <v>11</v>
      </c>
      <c r="N66" s="28">
        <v>25</v>
      </c>
      <c r="O66" s="28">
        <f>SUM(Four_Semester_Accounting[[#This Row],[Midterm]:[Final]])</f>
        <v>36</v>
      </c>
      <c r="P66" s="42">
        <f>ROUND(Four_Semester_Accounting[[#This Row],[Mid &amp; Final]],0)</f>
        <v>36</v>
      </c>
      <c r="Q66" s="42">
        <f t="shared" si="7"/>
        <v>53</v>
      </c>
      <c r="R66" s="46" t="str">
        <f t="shared" si="8"/>
        <v>C+</v>
      </c>
      <c r="S66" s="44" t="str">
        <f t="shared" si="9"/>
        <v>2.50</v>
      </c>
      <c r="T66" s="34" t="str">
        <f t="shared" si="10"/>
        <v>Average</v>
      </c>
    </row>
    <row r="67" spans="1:24" x14ac:dyDescent="0.25">
      <c r="A67" s="1" t="s">
        <v>2</v>
      </c>
      <c r="B67" s="29" t="s">
        <v>28</v>
      </c>
      <c r="C67" s="28">
        <v>8.6666666666666661</v>
      </c>
      <c r="D67" s="28">
        <v>14</v>
      </c>
      <c r="E67" s="28">
        <v>8.3333333333333339</v>
      </c>
      <c r="F67" s="28">
        <f>(((SUM(Four_Semester_Accounting[[#This Row],[Quiz 1]:[Quiz 3]]))/SUM($C$63:$E$63))*$F$63)</f>
        <v>10.333333333333334</v>
      </c>
      <c r="G67" s="27">
        <f>ROUND(Four_Semester_Accounting[[#This Row],[Quiz Average]],0)</f>
        <v>10</v>
      </c>
      <c r="H67" s="31">
        <v>3</v>
      </c>
      <c r="I67" s="31">
        <v>8</v>
      </c>
      <c r="J67" s="31">
        <v>3</v>
      </c>
      <c r="K67" s="93">
        <f>SUM(Four_Semester_Accounting[[#This Row],[Assignment]:[Attendance]])</f>
        <v>14</v>
      </c>
      <c r="L67" s="27">
        <f>ROUND(Four_Semester_Accounting[[#This Row],[Total out of APA]],0)</f>
        <v>14</v>
      </c>
      <c r="M67" s="28">
        <v>2</v>
      </c>
      <c r="N67" s="28">
        <v>34.5</v>
      </c>
      <c r="O67" s="28">
        <f>SUM(Four_Semester_Accounting[[#This Row],[Midterm]:[Final]])</f>
        <v>36.5</v>
      </c>
      <c r="P67" s="42">
        <f>ROUND(Four_Semester_Accounting[[#This Row],[Mid &amp; Final]],0)</f>
        <v>37</v>
      </c>
      <c r="Q67" s="42">
        <f t="shared" si="7"/>
        <v>61</v>
      </c>
      <c r="R67" s="46" t="str">
        <f t="shared" si="8"/>
        <v>B</v>
      </c>
      <c r="S67" s="44" t="str">
        <f t="shared" si="9"/>
        <v>3.00</v>
      </c>
      <c r="T67" s="34" t="str">
        <f t="shared" si="10"/>
        <v>Satisfactory</v>
      </c>
    </row>
    <row r="68" spans="1:24" x14ac:dyDescent="0.25">
      <c r="A68" s="1" t="s">
        <v>3</v>
      </c>
      <c r="B68" s="29" t="s">
        <v>29</v>
      </c>
      <c r="C68" s="28">
        <v>7</v>
      </c>
      <c r="D68" s="28">
        <v>7.333333333333333</v>
      </c>
      <c r="E68" s="28">
        <v>12</v>
      </c>
      <c r="F68" s="28">
        <f>(((SUM(Four_Semester_Accounting[[#This Row],[Quiz 1]:[Quiz 3]]))/SUM($C$63:$E$63))*$F$63)</f>
        <v>8.7777777777777768</v>
      </c>
      <c r="G68" s="27">
        <f>ROUND(Four_Semester_Accounting[[#This Row],[Quiz Average]],0)</f>
        <v>9</v>
      </c>
      <c r="H68" s="31">
        <v>3</v>
      </c>
      <c r="I68" s="31">
        <v>4</v>
      </c>
      <c r="J68" s="31">
        <v>4</v>
      </c>
      <c r="K68" s="93">
        <f>SUM(Four_Semester_Accounting[[#This Row],[Assignment]:[Attendance]])</f>
        <v>11</v>
      </c>
      <c r="L68" s="27">
        <f>ROUND(Four_Semester_Accounting[[#This Row],[Total out of APA]],0)</f>
        <v>11</v>
      </c>
      <c r="M68" s="28">
        <v>20</v>
      </c>
      <c r="N68" s="28">
        <v>34</v>
      </c>
      <c r="O68" s="28">
        <f>SUM(Four_Semester_Accounting[[#This Row],[Midterm]:[Final]])</f>
        <v>54</v>
      </c>
      <c r="P68" s="42">
        <f>ROUND(Four_Semester_Accounting[[#This Row],[Mid &amp; Final]],0)</f>
        <v>54</v>
      </c>
      <c r="Q68" s="42">
        <f t="shared" si="7"/>
        <v>74</v>
      </c>
      <c r="R68" s="46" t="str">
        <f t="shared" si="8"/>
        <v>A-</v>
      </c>
      <c r="S68" s="44" t="str">
        <f t="shared" si="9"/>
        <v>3.50</v>
      </c>
      <c r="T68" s="34" t="str">
        <f t="shared" si="10"/>
        <v>Very Good</v>
      </c>
    </row>
    <row r="69" spans="1:24" x14ac:dyDescent="0.25">
      <c r="A69" s="1" t="s">
        <v>4</v>
      </c>
      <c r="B69" s="29" t="s">
        <v>30</v>
      </c>
      <c r="C69" s="28">
        <v>1.3333333333333333</v>
      </c>
      <c r="D69" s="28">
        <v>3</v>
      </c>
      <c r="E69" s="28">
        <v>11.666666666666666</v>
      </c>
      <c r="F69" s="28">
        <f>(((SUM(Four_Semester_Accounting[[#This Row],[Quiz 1]:[Quiz 3]]))/SUM($C$63:$E$63))*$F$63)</f>
        <v>5.3333333333333339</v>
      </c>
      <c r="G69" s="27">
        <f>ROUND(Four_Semester_Accounting[[#This Row],[Quiz Average]],0)</f>
        <v>5</v>
      </c>
      <c r="H69" s="31">
        <v>2</v>
      </c>
      <c r="I69" s="31">
        <v>3</v>
      </c>
      <c r="J69" s="31">
        <v>4</v>
      </c>
      <c r="K69" s="93">
        <f>SUM(Four_Semester_Accounting[[#This Row],[Assignment]:[Attendance]])</f>
        <v>9</v>
      </c>
      <c r="L69" s="27">
        <f>ROUND(Four_Semester_Accounting[[#This Row],[Total out of APA]],0)</f>
        <v>9</v>
      </c>
      <c r="M69" s="28">
        <v>20.5</v>
      </c>
      <c r="N69" s="28">
        <v>22</v>
      </c>
      <c r="O69" s="28">
        <f>SUM(Four_Semester_Accounting[[#This Row],[Midterm]:[Final]])</f>
        <v>42.5</v>
      </c>
      <c r="P69" s="42">
        <f>ROUND(Four_Semester_Accounting[[#This Row],[Mid &amp; Final]],0)</f>
        <v>43</v>
      </c>
      <c r="Q69" s="42">
        <f t="shared" si="7"/>
        <v>57</v>
      </c>
      <c r="R69" s="46" t="str">
        <f t="shared" si="8"/>
        <v>B-</v>
      </c>
      <c r="S69" s="44" t="str">
        <f t="shared" si="9"/>
        <v>2.75</v>
      </c>
      <c r="T69" s="34" t="str">
        <f t="shared" si="10"/>
        <v>Above Average</v>
      </c>
    </row>
    <row r="70" spans="1:24" x14ac:dyDescent="0.25">
      <c r="A70" s="6" t="s">
        <v>5</v>
      </c>
      <c r="B70" s="225" t="s">
        <v>31</v>
      </c>
      <c r="C70" s="221"/>
      <c r="D70" s="221"/>
      <c r="E70" s="221"/>
      <c r="F70" s="221"/>
      <c r="G70" s="226"/>
      <c r="H70" s="220"/>
      <c r="I70" s="220"/>
      <c r="J70" s="220"/>
      <c r="K70" s="4"/>
      <c r="L70" s="226"/>
      <c r="M70" s="221"/>
      <c r="N70" s="221"/>
      <c r="O70" s="221"/>
      <c r="P70" s="222"/>
      <c r="Q70" s="222"/>
      <c r="R70" s="223"/>
      <c r="S70" s="224"/>
      <c r="T70" s="219"/>
    </row>
    <row r="71" spans="1:24" x14ac:dyDescent="0.25">
      <c r="A71" s="1" t="s">
        <v>6</v>
      </c>
      <c r="B71" s="29" t="s">
        <v>32</v>
      </c>
      <c r="C71" s="28">
        <v>13.666666666666666</v>
      </c>
      <c r="D71" s="28">
        <v>9.3333333333333339</v>
      </c>
      <c r="E71" s="28">
        <v>7.333333333333333</v>
      </c>
      <c r="F71" s="28">
        <f>(((SUM(Four_Semester_Accounting[[#This Row],[Quiz 1]:[Quiz 3]]))/SUM($C$63:$E$63))*$F$63)</f>
        <v>10.111111111111111</v>
      </c>
      <c r="G71" s="27">
        <f>ROUND(Four_Semester_Accounting[[#This Row],[Quiz Average]],0)</f>
        <v>10</v>
      </c>
      <c r="H71" s="31">
        <v>4</v>
      </c>
      <c r="I71" s="31">
        <v>7</v>
      </c>
      <c r="J71" s="31">
        <v>2</v>
      </c>
      <c r="K71" s="93">
        <f>SUM(Four_Semester_Accounting[[#This Row],[Assignment]:[Attendance]])</f>
        <v>13</v>
      </c>
      <c r="L71" s="27">
        <f>ROUND(Four_Semester_Accounting[[#This Row],[Total out of APA]],0)</f>
        <v>13</v>
      </c>
      <c r="M71" s="28">
        <v>15.5</v>
      </c>
      <c r="N71" s="28">
        <v>31.5</v>
      </c>
      <c r="O71" s="28">
        <f>SUM(Four_Semester_Accounting[[#This Row],[Midterm]:[Final]])</f>
        <v>47</v>
      </c>
      <c r="P71" s="42">
        <f>ROUND(Four_Semester_Accounting[[#This Row],[Mid &amp; Final]],0)</f>
        <v>47</v>
      </c>
      <c r="Q71" s="42">
        <f t="shared" si="7"/>
        <v>70</v>
      </c>
      <c r="R71" s="46" t="str">
        <f t="shared" si="8"/>
        <v>A-</v>
      </c>
      <c r="S71" s="44" t="str">
        <f t="shared" si="9"/>
        <v>3.50</v>
      </c>
      <c r="T71" s="34" t="str">
        <f t="shared" si="10"/>
        <v>Very Good</v>
      </c>
    </row>
    <row r="72" spans="1:24" x14ac:dyDescent="0.25">
      <c r="A72" s="1" t="s">
        <v>7</v>
      </c>
      <c r="B72" s="29" t="s">
        <v>33</v>
      </c>
      <c r="C72" s="28">
        <v>12</v>
      </c>
      <c r="D72" s="28">
        <v>6.666666666666667</v>
      </c>
      <c r="E72" s="28">
        <v>4</v>
      </c>
      <c r="F72" s="28">
        <f>(((SUM(Four_Semester_Accounting[[#This Row],[Quiz 1]:[Quiz 3]]))/SUM($C$63:$E$63))*$F$63)</f>
        <v>7.5555555555555562</v>
      </c>
      <c r="G72" s="27">
        <f>ROUND(Four_Semester_Accounting[[#This Row],[Quiz Average]],0)</f>
        <v>8</v>
      </c>
      <c r="H72" s="31">
        <v>2</v>
      </c>
      <c r="I72" s="31">
        <v>8</v>
      </c>
      <c r="J72" s="31">
        <v>3</v>
      </c>
      <c r="K72" s="93">
        <f>SUM(Four_Semester_Accounting[[#This Row],[Assignment]:[Attendance]])</f>
        <v>13</v>
      </c>
      <c r="L72" s="27">
        <f>ROUND(Four_Semester_Accounting[[#This Row],[Total out of APA]],0)</f>
        <v>13</v>
      </c>
      <c r="M72" s="28">
        <v>12.5</v>
      </c>
      <c r="N72" s="28">
        <v>24.5</v>
      </c>
      <c r="O72" s="28">
        <f>SUM(Four_Semester_Accounting[[#This Row],[Midterm]:[Final]])</f>
        <v>37</v>
      </c>
      <c r="P72" s="42">
        <f>ROUND(Four_Semester_Accounting[[#This Row],[Mid &amp; Final]],0)</f>
        <v>37</v>
      </c>
      <c r="Q72" s="42">
        <f t="shared" si="7"/>
        <v>58</v>
      </c>
      <c r="R72" s="46" t="str">
        <f t="shared" si="8"/>
        <v>B-</v>
      </c>
      <c r="S72" s="44" t="str">
        <f t="shared" si="9"/>
        <v>2.75</v>
      </c>
      <c r="T72" s="34" t="str">
        <f t="shared" si="10"/>
        <v>Above Average</v>
      </c>
      <c r="X72" s="228"/>
    </row>
    <row r="73" spans="1:24" x14ac:dyDescent="0.25">
      <c r="A73" s="1" t="s">
        <v>8</v>
      </c>
      <c r="B73" s="29" t="s">
        <v>34</v>
      </c>
      <c r="C73" s="28">
        <v>12.333333333333334</v>
      </c>
      <c r="D73" s="28">
        <v>4.666666666666667</v>
      </c>
      <c r="E73" s="28">
        <v>7</v>
      </c>
      <c r="F73" s="28">
        <f>(((SUM(Four_Semester_Accounting[[#This Row],[Quiz 1]:[Quiz 3]]))/SUM($C$63:$E$63))*$F$63)</f>
        <v>8</v>
      </c>
      <c r="G73" s="27">
        <f>ROUND(Four_Semester_Accounting[[#This Row],[Quiz Average]],0)</f>
        <v>8</v>
      </c>
      <c r="H73" s="31">
        <v>5</v>
      </c>
      <c r="I73" s="31">
        <v>5</v>
      </c>
      <c r="J73" s="31">
        <v>3</v>
      </c>
      <c r="K73" s="93">
        <f>SUM(Four_Semester_Accounting[[#This Row],[Assignment]:[Attendance]])</f>
        <v>13</v>
      </c>
      <c r="L73" s="27">
        <f>ROUND(Four_Semester_Accounting[[#This Row],[Total out of APA]],0)</f>
        <v>13</v>
      </c>
      <c r="M73" s="28">
        <v>18</v>
      </c>
      <c r="N73" s="28">
        <v>22.5</v>
      </c>
      <c r="O73" s="28">
        <f>SUM(Four_Semester_Accounting[[#This Row],[Midterm]:[Final]])</f>
        <v>40.5</v>
      </c>
      <c r="P73" s="42">
        <f>ROUND(Four_Semester_Accounting[[#This Row],[Mid &amp; Final]],0)</f>
        <v>41</v>
      </c>
      <c r="Q73" s="42">
        <f t="shared" si="7"/>
        <v>62</v>
      </c>
      <c r="R73" s="46" t="str">
        <f t="shared" si="8"/>
        <v>B</v>
      </c>
      <c r="S73" s="44" t="str">
        <f t="shared" si="9"/>
        <v>3.00</v>
      </c>
      <c r="T73" s="34" t="str">
        <f t="shared" si="10"/>
        <v>Satisfactory</v>
      </c>
    </row>
    <row r="74" spans="1:24" x14ac:dyDescent="0.25">
      <c r="A74" s="1" t="s">
        <v>9</v>
      </c>
      <c r="B74" s="29" t="s">
        <v>35</v>
      </c>
      <c r="C74" s="28">
        <v>7.666666666666667</v>
      </c>
      <c r="D74" s="28">
        <v>12.333333333333334</v>
      </c>
      <c r="E74" s="28">
        <v>3</v>
      </c>
      <c r="F74" s="28">
        <f>(((SUM(Four_Semester_Accounting[[#This Row],[Quiz 1]:[Quiz 3]]))/SUM($C$63:$E$63))*$F$63)</f>
        <v>7.6666666666666661</v>
      </c>
      <c r="G74" s="27">
        <f>ROUND(Four_Semester_Accounting[[#This Row],[Quiz Average]],0)</f>
        <v>8</v>
      </c>
      <c r="H74" s="31">
        <v>3</v>
      </c>
      <c r="I74" s="31">
        <v>3</v>
      </c>
      <c r="J74" s="31">
        <v>7</v>
      </c>
      <c r="K74" s="93">
        <f>SUM(Four_Semester_Accounting[[#This Row],[Assignment]:[Attendance]])</f>
        <v>13</v>
      </c>
      <c r="L74" s="27">
        <f>ROUND(Four_Semester_Accounting[[#This Row],[Total out of APA]],0)</f>
        <v>13</v>
      </c>
      <c r="M74" s="28">
        <v>2</v>
      </c>
      <c r="N74" s="28">
        <v>19.5</v>
      </c>
      <c r="O74" s="28">
        <f>SUM(Four_Semester_Accounting[[#This Row],[Midterm]:[Final]])</f>
        <v>21.5</v>
      </c>
      <c r="P74" s="42">
        <f>ROUND(Four_Semester_Accounting[[#This Row],[Mid &amp; Final]],0)</f>
        <v>22</v>
      </c>
      <c r="Q74" s="42">
        <f t="shared" si="7"/>
        <v>43</v>
      </c>
      <c r="R74" s="46" t="str">
        <f t="shared" si="8"/>
        <v>D</v>
      </c>
      <c r="S74" s="44" t="str">
        <f t="shared" si="9"/>
        <v>2.00</v>
      </c>
      <c r="T74" s="34" t="str">
        <f t="shared" si="10"/>
        <v>Pass</v>
      </c>
    </row>
    <row r="75" spans="1:24" x14ac:dyDescent="0.25">
      <c r="A75" s="1" t="s">
        <v>10</v>
      </c>
      <c r="B75" s="29" t="s">
        <v>36</v>
      </c>
      <c r="C75" s="28">
        <v>2.3333333333333335</v>
      </c>
      <c r="D75" s="28">
        <v>1</v>
      </c>
      <c r="E75" s="28">
        <v>5</v>
      </c>
      <c r="F75" s="28">
        <f>(((SUM(Four_Semester_Accounting[[#This Row],[Quiz 1]:[Quiz 3]]))/SUM($C$63:$E$63))*$F$63)</f>
        <v>2.7777777777777781</v>
      </c>
      <c r="G75" s="27">
        <f>ROUND(Four_Semester_Accounting[[#This Row],[Quiz Average]],0)</f>
        <v>3</v>
      </c>
      <c r="H75" s="31">
        <v>3</v>
      </c>
      <c r="I75" s="31">
        <v>8</v>
      </c>
      <c r="J75" s="31">
        <v>2</v>
      </c>
      <c r="K75" s="93">
        <f>SUM(Four_Semester_Accounting[[#This Row],[Assignment]:[Attendance]])</f>
        <v>13</v>
      </c>
      <c r="L75" s="27">
        <f>ROUND(Four_Semester_Accounting[[#This Row],[Total out of APA]],0)</f>
        <v>13</v>
      </c>
      <c r="M75" s="28">
        <v>1.5</v>
      </c>
      <c r="N75" s="28">
        <v>20</v>
      </c>
      <c r="O75" s="28">
        <f>SUM(Four_Semester_Accounting[[#This Row],[Midterm]:[Final]])</f>
        <v>21.5</v>
      </c>
      <c r="P75" s="42">
        <f>ROUND(Four_Semester_Accounting[[#This Row],[Mid &amp; Final]],0)</f>
        <v>22</v>
      </c>
      <c r="Q75" s="42">
        <f t="shared" si="7"/>
        <v>38</v>
      </c>
      <c r="R75" s="46" t="str">
        <f t="shared" si="8"/>
        <v>F</v>
      </c>
      <c r="S75" s="44" t="str">
        <f t="shared" si="9"/>
        <v>0.00</v>
      </c>
      <c r="T75" s="34" t="str">
        <f t="shared" si="10"/>
        <v>Fail</v>
      </c>
    </row>
    <row r="76" spans="1:24" x14ac:dyDescent="0.25">
      <c r="A76" s="6" t="s">
        <v>11</v>
      </c>
      <c r="B76" s="225" t="s">
        <v>31</v>
      </c>
      <c r="C76" s="221"/>
      <c r="D76" s="221"/>
      <c r="E76" s="221"/>
      <c r="F76" s="221"/>
      <c r="G76" s="226"/>
      <c r="H76" s="220"/>
      <c r="I76" s="220"/>
      <c r="J76" s="220"/>
      <c r="K76" s="4"/>
      <c r="L76" s="226"/>
      <c r="M76" s="221"/>
      <c r="N76" s="221"/>
      <c r="O76" s="221"/>
      <c r="P76" s="222"/>
      <c r="Q76" s="222"/>
      <c r="R76" s="223"/>
      <c r="S76" s="224"/>
      <c r="T76" s="219"/>
    </row>
    <row r="77" spans="1:24" x14ac:dyDescent="0.25">
      <c r="A77" s="1" t="s">
        <v>12</v>
      </c>
      <c r="B77" s="29" t="s">
        <v>37</v>
      </c>
      <c r="C77" s="28">
        <v>8</v>
      </c>
      <c r="D77" s="28">
        <v>1.3333333333333333</v>
      </c>
      <c r="E77" s="28">
        <v>12.333333333333334</v>
      </c>
      <c r="F77" s="28">
        <f>(((SUM(Four_Semester_Accounting[[#This Row],[Quiz 1]:[Quiz 3]]))/SUM($C$63:$E$63))*$F$63)</f>
        <v>7.2222222222222223</v>
      </c>
      <c r="G77" s="27">
        <f>ROUND(Four_Semester_Accounting[[#This Row],[Quiz Average]],0)</f>
        <v>7</v>
      </c>
      <c r="H77" s="31">
        <v>5</v>
      </c>
      <c r="I77" s="31">
        <v>7</v>
      </c>
      <c r="J77" s="31">
        <v>3</v>
      </c>
      <c r="K77" s="93">
        <f>SUM(Four_Semester_Accounting[[#This Row],[Assignment]:[Attendance]])</f>
        <v>15</v>
      </c>
      <c r="L77" s="27">
        <f>ROUND(Four_Semester_Accounting[[#This Row],[Total out of APA]],0)</f>
        <v>15</v>
      </c>
      <c r="M77" s="28">
        <v>15.5</v>
      </c>
      <c r="N77" s="28">
        <v>34.5</v>
      </c>
      <c r="O77" s="28">
        <f>SUM(Four_Semester_Accounting[[#This Row],[Midterm]:[Final]])</f>
        <v>50</v>
      </c>
      <c r="P77" s="42">
        <f>ROUND(Four_Semester_Accounting[[#This Row],[Mid &amp; Final]],0)</f>
        <v>50</v>
      </c>
      <c r="Q77" s="42">
        <f t="shared" si="7"/>
        <v>72</v>
      </c>
      <c r="R77" s="46" t="str">
        <f t="shared" si="8"/>
        <v>A-</v>
      </c>
      <c r="S77" s="44" t="str">
        <f t="shared" si="9"/>
        <v>3.50</v>
      </c>
      <c r="T77" s="34" t="str">
        <f t="shared" si="10"/>
        <v>Very Good</v>
      </c>
    </row>
    <row r="78" spans="1:24" x14ac:dyDescent="0.25">
      <c r="A78" s="1" t="s">
        <v>13</v>
      </c>
      <c r="B78" s="29" t="s">
        <v>38</v>
      </c>
      <c r="C78" s="28">
        <v>1.6666666666666667</v>
      </c>
      <c r="D78" s="28">
        <v>2</v>
      </c>
      <c r="E78" s="28">
        <v>10</v>
      </c>
      <c r="F78" s="28">
        <f>(((SUM(Four_Semester_Accounting[[#This Row],[Quiz 1]:[Quiz 3]]))/SUM($C$63:$E$63))*$F$63)</f>
        <v>4.5555555555555562</v>
      </c>
      <c r="G78" s="27">
        <f>ROUND(Four_Semester_Accounting[[#This Row],[Quiz Average]],0)</f>
        <v>5</v>
      </c>
      <c r="H78" s="31">
        <v>5</v>
      </c>
      <c r="I78" s="31">
        <v>8</v>
      </c>
      <c r="J78" s="31">
        <v>6</v>
      </c>
      <c r="K78" s="93">
        <f>SUM(Four_Semester_Accounting[[#This Row],[Assignment]:[Attendance]])</f>
        <v>19</v>
      </c>
      <c r="L78" s="27">
        <f>ROUND(Four_Semester_Accounting[[#This Row],[Total out of APA]],0)</f>
        <v>19</v>
      </c>
      <c r="M78" s="28">
        <v>12.5</v>
      </c>
      <c r="N78" s="28">
        <v>11</v>
      </c>
      <c r="O78" s="28">
        <f>SUM(Four_Semester_Accounting[[#This Row],[Midterm]:[Final]])</f>
        <v>23.5</v>
      </c>
      <c r="P78" s="42">
        <f>ROUND(Four_Semester_Accounting[[#This Row],[Mid &amp; Final]],0)</f>
        <v>24</v>
      </c>
      <c r="Q78" s="42">
        <f t="shared" si="7"/>
        <v>48</v>
      </c>
      <c r="R78" s="46" t="str">
        <f t="shared" si="8"/>
        <v>C</v>
      </c>
      <c r="S78" s="44" t="str">
        <f t="shared" si="9"/>
        <v>2.25</v>
      </c>
      <c r="T78" s="34" t="str">
        <f t="shared" si="10"/>
        <v>Bellow Average</v>
      </c>
      <c r="V78" s="9"/>
    </row>
    <row r="79" spans="1:24" x14ac:dyDescent="0.25">
      <c r="A79" s="1" t="s">
        <v>14</v>
      </c>
      <c r="B79" s="29" t="s">
        <v>39</v>
      </c>
      <c r="C79" s="28">
        <v>1</v>
      </c>
      <c r="D79" s="28">
        <v>8.3333333333333339</v>
      </c>
      <c r="E79" s="28">
        <v>9.6666666666666661</v>
      </c>
      <c r="F79" s="28">
        <f>(((SUM(Four_Semester_Accounting[[#This Row],[Quiz 1]:[Quiz 3]]))/SUM($C$63:$E$63))*$F$63)</f>
        <v>6.333333333333333</v>
      </c>
      <c r="G79" s="27">
        <f>ROUND(Four_Semester_Accounting[[#This Row],[Quiz Average]],0)</f>
        <v>6</v>
      </c>
      <c r="H79" s="31">
        <v>5</v>
      </c>
      <c r="I79" s="31">
        <v>5</v>
      </c>
      <c r="J79" s="31">
        <v>2</v>
      </c>
      <c r="K79" s="93">
        <f>SUM(Four_Semester_Accounting[[#This Row],[Assignment]:[Attendance]])</f>
        <v>12</v>
      </c>
      <c r="L79" s="27">
        <f>ROUND(Four_Semester_Accounting[[#This Row],[Total out of APA]],0)</f>
        <v>12</v>
      </c>
      <c r="M79" s="28">
        <v>20.5</v>
      </c>
      <c r="N79" s="28">
        <v>23.5</v>
      </c>
      <c r="O79" s="28">
        <f>SUM(Four_Semester_Accounting[[#This Row],[Midterm]:[Final]])</f>
        <v>44</v>
      </c>
      <c r="P79" s="42">
        <f>ROUND(Four_Semester_Accounting[[#This Row],[Mid &amp; Final]],0)</f>
        <v>44</v>
      </c>
      <c r="Q79" s="42">
        <f t="shared" si="7"/>
        <v>62</v>
      </c>
      <c r="R79" s="46" t="str">
        <f t="shared" si="8"/>
        <v>B</v>
      </c>
      <c r="S79" s="44" t="str">
        <f t="shared" si="9"/>
        <v>3.00</v>
      </c>
      <c r="T79" s="34" t="str">
        <f t="shared" si="10"/>
        <v>Satisfactory</v>
      </c>
    </row>
    <row r="80" spans="1:24" x14ac:dyDescent="0.25">
      <c r="A80" s="1" t="s">
        <v>15</v>
      </c>
      <c r="B80" s="29" t="s">
        <v>40</v>
      </c>
      <c r="C80" s="28">
        <v>5.333333333333333</v>
      </c>
      <c r="D80" s="28">
        <v>9.3333333333333339</v>
      </c>
      <c r="E80" s="28">
        <v>1</v>
      </c>
      <c r="F80" s="28">
        <f>(((SUM(Four_Semester_Accounting[[#This Row],[Quiz 1]:[Quiz 3]]))/SUM($C$63:$E$63))*$F$63)</f>
        <v>5.2222222222222223</v>
      </c>
      <c r="G80" s="27">
        <f>ROUND(Four_Semester_Accounting[[#This Row],[Quiz Average]],0)</f>
        <v>5</v>
      </c>
      <c r="H80" s="31">
        <v>3</v>
      </c>
      <c r="I80" s="31">
        <v>6</v>
      </c>
      <c r="J80" s="31">
        <v>6</v>
      </c>
      <c r="K80" s="93">
        <f>SUM(Four_Semester_Accounting[[#This Row],[Assignment]:[Attendance]])</f>
        <v>15</v>
      </c>
      <c r="L80" s="27">
        <f>ROUND(Four_Semester_Accounting[[#This Row],[Total out of APA]],0)</f>
        <v>15</v>
      </c>
      <c r="M80" s="28">
        <v>15.5</v>
      </c>
      <c r="N80" s="28">
        <v>35</v>
      </c>
      <c r="O80" s="28">
        <f>SUM(Four_Semester_Accounting[[#This Row],[Midterm]:[Final]])</f>
        <v>50.5</v>
      </c>
      <c r="P80" s="42">
        <f>ROUND(Four_Semester_Accounting[[#This Row],[Mid &amp; Final]],0)</f>
        <v>51</v>
      </c>
      <c r="Q80" s="42">
        <f t="shared" si="7"/>
        <v>71</v>
      </c>
      <c r="R80" s="46" t="str">
        <f t="shared" si="8"/>
        <v>A-</v>
      </c>
      <c r="S80" s="44" t="str">
        <f t="shared" si="9"/>
        <v>3.50</v>
      </c>
      <c r="T80" s="34" t="str">
        <f t="shared" si="10"/>
        <v>Very Good</v>
      </c>
    </row>
    <row r="81" spans="1:20" x14ac:dyDescent="0.25">
      <c r="A81" s="6" t="s">
        <v>16</v>
      </c>
      <c r="B81" s="225" t="s">
        <v>31</v>
      </c>
      <c r="C81" s="221"/>
      <c r="D81" s="221"/>
      <c r="E81" s="221"/>
      <c r="F81" s="221"/>
      <c r="G81" s="226"/>
      <c r="H81" s="220"/>
      <c r="I81" s="220"/>
      <c r="J81" s="220"/>
      <c r="K81" s="4"/>
      <c r="L81" s="226"/>
      <c r="M81" s="221"/>
      <c r="N81" s="221"/>
      <c r="O81" s="221"/>
      <c r="P81" s="222"/>
      <c r="Q81" s="222"/>
      <c r="R81" s="223"/>
      <c r="S81" s="224"/>
      <c r="T81" s="219"/>
    </row>
    <row r="82" spans="1:20" x14ac:dyDescent="0.25">
      <c r="A82" s="1" t="s">
        <v>17</v>
      </c>
      <c r="B82" s="29" t="s">
        <v>41</v>
      </c>
      <c r="C82" s="28">
        <v>6.333333333333333</v>
      </c>
      <c r="D82" s="28">
        <v>15</v>
      </c>
      <c r="E82" s="28">
        <v>2</v>
      </c>
      <c r="F82" s="28">
        <f>(((SUM(Four_Semester_Accounting[[#This Row],[Quiz 1]:[Quiz 3]]))/SUM($C$63:$E$63))*$F$63)</f>
        <v>7.7777777777777777</v>
      </c>
      <c r="G82" s="27">
        <f>ROUND(Four_Semester_Accounting[[#This Row],[Quiz Average]],0)</f>
        <v>8</v>
      </c>
      <c r="H82" s="31">
        <v>5</v>
      </c>
      <c r="I82" s="31">
        <v>6</v>
      </c>
      <c r="J82" s="31">
        <v>4</v>
      </c>
      <c r="K82" s="93">
        <f>SUM(Four_Semester_Accounting[[#This Row],[Assignment]:[Attendance]])</f>
        <v>15</v>
      </c>
      <c r="L82" s="27">
        <f>ROUND(Four_Semester_Accounting[[#This Row],[Total out of APA]],0)</f>
        <v>15</v>
      </c>
      <c r="M82" s="28">
        <v>9</v>
      </c>
      <c r="N82" s="28">
        <v>28</v>
      </c>
      <c r="O82" s="28">
        <f>SUM(Four_Semester_Accounting[[#This Row],[Midterm]:[Final]])</f>
        <v>37</v>
      </c>
      <c r="P82" s="42">
        <f>ROUND(Four_Semester_Accounting[[#This Row],[Mid &amp; Final]],0)</f>
        <v>37</v>
      </c>
      <c r="Q82" s="42">
        <f t="shared" si="7"/>
        <v>60</v>
      </c>
      <c r="R82" s="46" t="str">
        <f t="shared" si="8"/>
        <v>B</v>
      </c>
      <c r="S82" s="44" t="str">
        <f t="shared" si="9"/>
        <v>3.00</v>
      </c>
      <c r="T82" s="34" t="str">
        <f t="shared" si="10"/>
        <v>Satisfactory</v>
      </c>
    </row>
    <row r="83" spans="1:20" x14ac:dyDescent="0.25">
      <c r="A83" s="1" t="s">
        <v>18</v>
      </c>
      <c r="B83" s="29" t="s">
        <v>42</v>
      </c>
      <c r="C83" s="28">
        <v>5.333333333333333</v>
      </c>
      <c r="D83" s="28">
        <v>14</v>
      </c>
      <c r="E83" s="28">
        <v>3.3333333333333335</v>
      </c>
      <c r="F83" s="28">
        <f>(((SUM(Four_Semester_Accounting[[#This Row],[Quiz 1]:[Quiz 3]]))/SUM($C$63:$E$63))*$F$63)</f>
        <v>7.5555555555555545</v>
      </c>
      <c r="G83" s="27">
        <f>ROUND(Four_Semester_Accounting[[#This Row],[Quiz Average]],0)</f>
        <v>8</v>
      </c>
      <c r="H83" s="31">
        <v>3</v>
      </c>
      <c r="I83" s="31">
        <v>4</v>
      </c>
      <c r="J83" s="31">
        <v>4</v>
      </c>
      <c r="K83" s="93">
        <f>SUM(Four_Semester_Accounting[[#This Row],[Assignment]:[Attendance]])</f>
        <v>11</v>
      </c>
      <c r="L83" s="27">
        <f>ROUND(Four_Semester_Accounting[[#This Row],[Total out of APA]],0)</f>
        <v>11</v>
      </c>
      <c r="M83" s="28">
        <v>18.5</v>
      </c>
      <c r="N83" s="28">
        <v>8.5</v>
      </c>
      <c r="O83" s="28">
        <f>SUM(Four_Semester_Accounting[[#This Row],[Midterm]:[Final]])</f>
        <v>27</v>
      </c>
      <c r="P83" s="42">
        <f>ROUND(Four_Semester_Accounting[[#This Row],[Mid &amp; Final]],0)</f>
        <v>27</v>
      </c>
      <c r="Q83" s="42">
        <f t="shared" si="7"/>
        <v>46</v>
      </c>
      <c r="R83" s="46" t="str">
        <f t="shared" si="8"/>
        <v>C</v>
      </c>
      <c r="S83" s="44" t="str">
        <f t="shared" si="9"/>
        <v>2.25</v>
      </c>
      <c r="T83" s="34" t="str">
        <f t="shared" si="10"/>
        <v>Bellow Average</v>
      </c>
    </row>
    <row r="84" spans="1:20" x14ac:dyDescent="0.25">
      <c r="A84" s="1" t="s">
        <v>19</v>
      </c>
      <c r="B84" s="29" t="s">
        <v>43</v>
      </c>
      <c r="C84" s="28">
        <v>9</v>
      </c>
      <c r="D84" s="28">
        <v>14.333333333333334</v>
      </c>
      <c r="E84" s="28">
        <v>3.6666666666666665</v>
      </c>
      <c r="F84" s="28">
        <f>(((SUM(Four_Semester_Accounting[[#This Row],[Quiz 1]:[Quiz 3]]))/SUM($C$63:$E$63))*$F$63)</f>
        <v>9.0000000000000018</v>
      </c>
      <c r="G84" s="27">
        <f>ROUND(Four_Semester_Accounting[[#This Row],[Quiz Average]],0)</f>
        <v>9</v>
      </c>
      <c r="H84" s="31">
        <v>3</v>
      </c>
      <c r="I84" s="31">
        <v>2</v>
      </c>
      <c r="J84" s="31">
        <v>3</v>
      </c>
      <c r="K84" s="93">
        <f>SUM(Four_Semester_Accounting[[#This Row],[Assignment]:[Attendance]])</f>
        <v>8</v>
      </c>
      <c r="L84" s="27">
        <f>ROUND(Four_Semester_Accounting[[#This Row],[Total out of APA]],0)</f>
        <v>8</v>
      </c>
      <c r="M84" s="28">
        <v>23</v>
      </c>
      <c r="N84" s="28">
        <v>32</v>
      </c>
      <c r="O84" s="28">
        <f>SUM(Four_Semester_Accounting[[#This Row],[Midterm]:[Final]])</f>
        <v>55</v>
      </c>
      <c r="P84" s="42">
        <f>ROUND(Four_Semester_Accounting[[#This Row],[Mid &amp; Final]],0)</f>
        <v>55</v>
      </c>
      <c r="Q84" s="42">
        <f t="shared" si="7"/>
        <v>72</v>
      </c>
      <c r="R84" s="46" t="str">
        <f t="shared" si="8"/>
        <v>A-</v>
      </c>
      <c r="S84" s="44" t="str">
        <f t="shared" si="9"/>
        <v>3.50</v>
      </c>
      <c r="T84" s="34" t="str">
        <f t="shared" si="10"/>
        <v>Very Good</v>
      </c>
    </row>
    <row r="85" spans="1:20" x14ac:dyDescent="0.25">
      <c r="A85" s="1" t="s">
        <v>23</v>
      </c>
      <c r="B85" s="29" t="s">
        <v>44</v>
      </c>
      <c r="C85" s="28">
        <v>3.6666666666666665</v>
      </c>
      <c r="D85" s="28">
        <v>3.3333333333333335</v>
      </c>
      <c r="E85" s="28">
        <v>2.6666666666666665</v>
      </c>
      <c r="F85" s="28">
        <f>(((SUM(Four_Semester_Accounting[[#This Row],[Quiz 1]:[Quiz 3]]))/SUM($C$63:$E$63))*$F$63)</f>
        <v>3.2222222222222219</v>
      </c>
      <c r="G85" s="27">
        <f>ROUND(Four_Semester_Accounting[[#This Row],[Quiz Average]],0)</f>
        <v>3</v>
      </c>
      <c r="H85" s="31">
        <v>3</v>
      </c>
      <c r="I85" s="31">
        <v>8</v>
      </c>
      <c r="J85" s="31">
        <v>3</v>
      </c>
      <c r="K85" s="93">
        <f>SUM(Four_Semester_Accounting[[#This Row],[Assignment]:[Attendance]])</f>
        <v>14</v>
      </c>
      <c r="L85" s="27">
        <f>ROUND(Four_Semester_Accounting[[#This Row],[Total out of APA]],0)</f>
        <v>14</v>
      </c>
      <c r="M85" s="28">
        <v>17.5</v>
      </c>
      <c r="N85" s="28">
        <v>13</v>
      </c>
      <c r="O85" s="28">
        <f>SUM(Four_Semester_Accounting[[#This Row],[Midterm]:[Final]])</f>
        <v>30.5</v>
      </c>
      <c r="P85" s="42">
        <f>ROUND(Four_Semester_Accounting[[#This Row],[Mid &amp; Final]],0)</f>
        <v>31</v>
      </c>
      <c r="Q85" s="42">
        <f t="shared" si="7"/>
        <v>48</v>
      </c>
      <c r="R85" s="46" t="str">
        <f t="shared" si="8"/>
        <v>C</v>
      </c>
      <c r="S85" s="44" t="str">
        <f t="shared" si="9"/>
        <v>2.25</v>
      </c>
      <c r="T85" s="34" t="str">
        <f t="shared" si="10"/>
        <v>Bellow Average</v>
      </c>
    </row>
    <row r="86" spans="1:20" x14ac:dyDescent="0.25">
      <c r="A86" s="1" t="s">
        <v>24</v>
      </c>
      <c r="B86" s="29" t="s">
        <v>45</v>
      </c>
      <c r="C86" s="28">
        <v>7.333333333333333</v>
      </c>
      <c r="D86" s="28">
        <v>9</v>
      </c>
      <c r="E86" s="28">
        <v>10.333333333333334</v>
      </c>
      <c r="F86" s="28">
        <f>(((SUM(Four_Semester_Accounting[[#This Row],[Quiz 1]:[Quiz 3]]))/SUM($C$63:$E$63))*$F$63)</f>
        <v>8.8888888888888893</v>
      </c>
      <c r="G86" s="27">
        <f>ROUND(Four_Semester_Accounting[[#This Row],[Quiz Average]],0)</f>
        <v>9</v>
      </c>
      <c r="H86" s="31">
        <v>5</v>
      </c>
      <c r="I86" s="31">
        <v>7</v>
      </c>
      <c r="J86" s="31">
        <v>2</v>
      </c>
      <c r="K86" s="93">
        <f>SUM(Four_Semester_Accounting[[#This Row],[Assignment]:[Attendance]])</f>
        <v>14</v>
      </c>
      <c r="L86" s="27">
        <f>ROUND(Four_Semester_Accounting[[#This Row],[Total out of APA]],0)</f>
        <v>14</v>
      </c>
      <c r="M86" s="28">
        <v>6.5</v>
      </c>
      <c r="N86" s="28">
        <v>34</v>
      </c>
      <c r="O86" s="28">
        <f>SUM(Four_Semester_Accounting[[#This Row],[Midterm]:[Final]])</f>
        <v>40.5</v>
      </c>
      <c r="P86" s="42">
        <f>ROUND(Four_Semester_Accounting[[#This Row],[Mid &amp; Final]],0)</f>
        <v>41</v>
      </c>
      <c r="Q86" s="42">
        <f t="shared" si="7"/>
        <v>64</v>
      </c>
      <c r="R86" s="46" t="str">
        <f t="shared" si="8"/>
        <v>B</v>
      </c>
      <c r="S86" s="44" t="str">
        <f t="shared" si="9"/>
        <v>3.00</v>
      </c>
      <c r="T86" s="34" t="str">
        <f t="shared" si="10"/>
        <v>Satisfactory</v>
      </c>
    </row>
    <row r="87" spans="1:20" x14ac:dyDescent="0.25">
      <c r="A87" s="1" t="s">
        <v>25</v>
      </c>
      <c r="B87" s="29" t="s">
        <v>46</v>
      </c>
      <c r="C87" s="28">
        <v>6.333333333333333</v>
      </c>
      <c r="D87" s="28">
        <v>13.333333333333334</v>
      </c>
      <c r="E87" s="28">
        <v>11</v>
      </c>
      <c r="F87" s="28">
        <f>(((SUM(Four_Semester_Accounting[[#This Row],[Quiz 1]:[Quiz 3]]))/SUM($C$63:$E$63))*$F$63)</f>
        <v>10.222222222222221</v>
      </c>
      <c r="G87" s="27">
        <f>ROUND(Four_Semester_Accounting[[#This Row],[Quiz Average]],0)</f>
        <v>10</v>
      </c>
      <c r="H87" s="31">
        <v>2</v>
      </c>
      <c r="I87" s="31">
        <v>2</v>
      </c>
      <c r="J87" s="31">
        <v>3</v>
      </c>
      <c r="K87" s="93">
        <f>SUM(Four_Semester_Accounting[[#This Row],[Assignment]:[Attendance]])</f>
        <v>7</v>
      </c>
      <c r="L87" s="27">
        <f>ROUND(Four_Semester_Accounting[[#This Row],[Total out of APA]],0)</f>
        <v>7</v>
      </c>
      <c r="M87" s="28">
        <v>18</v>
      </c>
      <c r="N87" s="28">
        <v>11</v>
      </c>
      <c r="O87" s="28">
        <f>SUM(Four_Semester_Accounting[[#This Row],[Midterm]:[Final]])</f>
        <v>29</v>
      </c>
      <c r="P87" s="42">
        <f>ROUND(Four_Semester_Accounting[[#This Row],[Mid &amp; Final]],0)</f>
        <v>29</v>
      </c>
      <c r="Q87" s="42">
        <f t="shared" si="7"/>
        <v>46</v>
      </c>
      <c r="R87" s="46" t="str">
        <f t="shared" si="8"/>
        <v>C</v>
      </c>
      <c r="S87" s="44" t="str">
        <f t="shared" si="9"/>
        <v>2.25</v>
      </c>
      <c r="T87" s="34" t="str">
        <f t="shared" si="10"/>
        <v>Bellow Average</v>
      </c>
    </row>
    <row r="88" spans="1:20" x14ac:dyDescent="0.25">
      <c r="A88" s="1" t="s">
        <v>26</v>
      </c>
      <c r="B88" s="29" t="s">
        <v>47</v>
      </c>
      <c r="C88" s="28">
        <v>4</v>
      </c>
      <c r="D88" s="28">
        <v>8.6666666666666661</v>
      </c>
      <c r="E88" s="28">
        <v>2.6666666666666665</v>
      </c>
      <c r="F88" s="28">
        <f>(((SUM(Four_Semester_Accounting[[#This Row],[Quiz 1]:[Quiz 3]]))/SUM($C$63:$E$63))*$F$63)</f>
        <v>5.1111111111111107</v>
      </c>
      <c r="G88" s="27">
        <f>ROUND(Four_Semester_Accounting[[#This Row],[Quiz Average]],0)</f>
        <v>5</v>
      </c>
      <c r="H88" s="31">
        <v>3</v>
      </c>
      <c r="I88" s="31">
        <v>3</v>
      </c>
      <c r="J88" s="31">
        <v>7</v>
      </c>
      <c r="K88" s="93">
        <f>SUM(Four_Semester_Accounting[[#This Row],[Assignment]:[Attendance]])</f>
        <v>13</v>
      </c>
      <c r="L88" s="27">
        <f>ROUND(Four_Semester_Accounting[[#This Row],[Total out of APA]],0)</f>
        <v>13</v>
      </c>
      <c r="M88" s="28">
        <v>21.5</v>
      </c>
      <c r="N88" s="28">
        <v>12.5</v>
      </c>
      <c r="O88" s="28">
        <f>SUM(Four_Semester_Accounting[[#This Row],[Midterm]:[Final]])</f>
        <v>34</v>
      </c>
      <c r="P88" s="42">
        <f>ROUND(Four_Semester_Accounting[[#This Row],[Mid &amp; Final]],0)</f>
        <v>34</v>
      </c>
      <c r="Q88" s="42">
        <f t="shared" si="7"/>
        <v>52</v>
      </c>
      <c r="R88" s="46" t="str">
        <f t="shared" si="8"/>
        <v>C+</v>
      </c>
      <c r="S88" s="44" t="str">
        <f t="shared" si="9"/>
        <v>2.50</v>
      </c>
      <c r="T88" s="34" t="str">
        <f t="shared" si="10"/>
        <v>Average</v>
      </c>
    </row>
    <row r="89" spans="1:20" x14ac:dyDescent="0.25">
      <c r="A89" s="1" t="s">
        <v>50</v>
      </c>
      <c r="B89" s="29" t="s">
        <v>51</v>
      </c>
      <c r="C89" s="28">
        <v>12.666666666666666</v>
      </c>
      <c r="D89" s="28">
        <v>4.666666666666667</v>
      </c>
      <c r="E89" s="28">
        <v>15</v>
      </c>
      <c r="F89" s="28">
        <f>(((SUM(Four_Semester_Accounting[[#This Row],[Quiz 1]:[Quiz 3]]))/SUM($C$63:$E$63))*$F$63)</f>
        <v>10.777777777777777</v>
      </c>
      <c r="G89" s="27">
        <f>ROUND(Four_Semester_Accounting[[#This Row],[Quiz Average]],0)</f>
        <v>11</v>
      </c>
      <c r="H89" s="31">
        <v>3</v>
      </c>
      <c r="I89" s="31">
        <v>6</v>
      </c>
      <c r="J89" s="31">
        <v>2</v>
      </c>
      <c r="K89" s="93">
        <f>SUM(Four_Semester_Accounting[[#This Row],[Assignment]:[Attendance]])</f>
        <v>11</v>
      </c>
      <c r="L89" s="27">
        <f>ROUND(Four_Semester_Accounting[[#This Row],[Total out of APA]],0)</f>
        <v>11</v>
      </c>
      <c r="M89" s="28">
        <v>12.5</v>
      </c>
      <c r="N89" s="28">
        <v>23.5</v>
      </c>
      <c r="O89" s="28">
        <f>SUM(Four_Semester_Accounting[[#This Row],[Midterm]:[Final]])</f>
        <v>36</v>
      </c>
      <c r="P89" s="42">
        <f>ROUND(Four_Semester_Accounting[[#This Row],[Mid &amp; Final]],0)</f>
        <v>36</v>
      </c>
      <c r="Q89" s="42">
        <f t="shared" si="7"/>
        <v>58</v>
      </c>
      <c r="R89" s="46" t="str">
        <f t="shared" si="8"/>
        <v>B-</v>
      </c>
      <c r="S89" s="44" t="str">
        <f t="shared" si="9"/>
        <v>2.75</v>
      </c>
      <c r="T89" s="34" t="str">
        <f t="shared" si="10"/>
        <v>Above Average</v>
      </c>
    </row>
    <row r="90" spans="1:20" x14ac:dyDescent="0.25">
      <c r="A90" s="1" t="s">
        <v>53</v>
      </c>
      <c r="B90" s="29" t="s">
        <v>54</v>
      </c>
      <c r="C90" s="28">
        <v>11</v>
      </c>
      <c r="D90" s="28">
        <v>5.666666666666667</v>
      </c>
      <c r="E90" s="28">
        <v>9.6666666666666661</v>
      </c>
      <c r="F90" s="28">
        <f>(((SUM(Four_Semester_Accounting[[#This Row],[Quiz 1]:[Quiz 3]]))/SUM($C$63:$E$63))*$F$63)</f>
        <v>8.7777777777777786</v>
      </c>
      <c r="G90" s="27">
        <f>ROUND(Four_Semester_Accounting[[#This Row],[Quiz Average]],0)</f>
        <v>9</v>
      </c>
      <c r="H90" s="31">
        <v>5</v>
      </c>
      <c r="I90" s="31">
        <v>5</v>
      </c>
      <c r="J90" s="31">
        <v>6</v>
      </c>
      <c r="K90" s="93">
        <f>SUM(Four_Semester_Accounting[[#This Row],[Assignment]:[Attendance]])</f>
        <v>16</v>
      </c>
      <c r="L90" s="27">
        <f>ROUND(Four_Semester_Accounting[[#This Row],[Total out of APA]],0)</f>
        <v>16</v>
      </c>
      <c r="M90" s="28">
        <v>18.5</v>
      </c>
      <c r="N90" s="28">
        <v>14</v>
      </c>
      <c r="O90" s="28">
        <f>SUM(Four_Semester_Accounting[[#This Row],[Midterm]:[Final]])</f>
        <v>32.5</v>
      </c>
      <c r="P90" s="42">
        <f>ROUND(Four_Semester_Accounting[[#This Row],[Mid &amp; Final]],0)</f>
        <v>33</v>
      </c>
      <c r="Q90" s="42">
        <f t="shared" si="7"/>
        <v>58</v>
      </c>
      <c r="R90" s="46" t="str">
        <f t="shared" si="8"/>
        <v>B-</v>
      </c>
      <c r="S90" s="44" t="str">
        <f t="shared" si="9"/>
        <v>2.75</v>
      </c>
      <c r="T90" s="34" t="str">
        <f t="shared" si="10"/>
        <v>Above Average</v>
      </c>
    </row>
    <row r="91" spans="1:20" ht="15.75" thickBot="1" x14ac:dyDescent="0.3">
      <c r="A91" s="35" t="s">
        <v>60</v>
      </c>
      <c r="B91" s="36" t="s">
        <v>61</v>
      </c>
      <c r="C91" s="37">
        <v>12.666666666666666</v>
      </c>
      <c r="D91" s="37">
        <v>1.3333333333333333</v>
      </c>
      <c r="E91" s="37">
        <v>4.666666666666667</v>
      </c>
      <c r="F91" s="37">
        <f>(((SUM(Four_Semester_Accounting[[#This Row],[Quiz 1]:[Quiz 3]]))/SUM($C$63:$E$63))*$F$63)</f>
        <v>6.2222222222222232</v>
      </c>
      <c r="G91" s="38">
        <f>ROUND(Four_Semester_Accounting[[#This Row],[Quiz Average]],0)</f>
        <v>6</v>
      </c>
      <c r="H91" s="39">
        <v>5</v>
      </c>
      <c r="I91" s="39">
        <v>2</v>
      </c>
      <c r="J91" s="39">
        <v>4</v>
      </c>
      <c r="K91" s="40">
        <f>SUM(Four_Semester_Accounting[[#This Row],[Assignment]:[Attendance]])</f>
        <v>11</v>
      </c>
      <c r="L91" s="38">
        <f>ROUND(Four_Semester_Accounting[[#This Row],[Total out of APA]],0)</f>
        <v>11</v>
      </c>
      <c r="M91" s="37">
        <v>23.5</v>
      </c>
      <c r="N91" s="37">
        <v>4</v>
      </c>
      <c r="O91" s="37">
        <f>SUM(Four_Semester_Accounting[[#This Row],[Midterm]:[Final]])</f>
        <v>27.5</v>
      </c>
      <c r="P91" s="43">
        <f>ROUND(Four_Semester_Accounting[[#This Row],[Mid &amp; Final]],0)</f>
        <v>28</v>
      </c>
      <c r="Q91" s="59">
        <f t="shared" si="7"/>
        <v>45</v>
      </c>
      <c r="R91" s="47" t="str">
        <f t="shared" si="8"/>
        <v>C</v>
      </c>
      <c r="S91" s="45" t="str">
        <f t="shared" si="9"/>
        <v>2.25</v>
      </c>
      <c r="T91" s="41" t="str">
        <f t="shared" si="10"/>
        <v>Bellow Average</v>
      </c>
    </row>
    <row r="92" spans="1:20" x14ac:dyDescent="0.25">
      <c r="A92" s="68"/>
      <c r="B92" s="68"/>
      <c r="C92" s="30"/>
      <c r="D92" s="30"/>
      <c r="E92" s="30"/>
      <c r="F92" s="30"/>
      <c r="G92" s="69"/>
      <c r="H92" s="71"/>
      <c r="I92" s="71"/>
      <c r="J92" s="71"/>
      <c r="K92" s="69"/>
      <c r="L92" s="69"/>
      <c r="M92" s="30"/>
      <c r="N92" s="30"/>
      <c r="O92" s="30"/>
      <c r="P92" s="70"/>
      <c r="Q92" s="70"/>
      <c r="R92" s="30"/>
      <c r="S92" s="30"/>
      <c r="T92" s="30"/>
    </row>
    <row r="93" spans="1:20" x14ac:dyDescent="0.25">
      <c r="A93" s="68"/>
      <c r="B93" s="68"/>
      <c r="C93" s="30"/>
      <c r="D93" s="30"/>
      <c r="E93" s="30"/>
      <c r="F93" s="30"/>
      <c r="G93" s="69"/>
      <c r="H93" s="71"/>
      <c r="I93" s="71"/>
      <c r="J93" s="71"/>
      <c r="K93" s="69"/>
      <c r="L93" s="69"/>
      <c r="M93" s="30"/>
      <c r="N93" s="30"/>
      <c r="O93" s="30"/>
      <c r="P93" s="70"/>
      <c r="Q93" s="70"/>
      <c r="R93" s="30"/>
      <c r="S93" s="30"/>
      <c r="T93" s="30"/>
    </row>
    <row r="94" spans="1:20" x14ac:dyDescent="0.25">
      <c r="A94" s="68"/>
      <c r="B94" s="68"/>
      <c r="C94" s="30"/>
      <c r="D94" s="30"/>
      <c r="E94" s="30"/>
      <c r="F94" s="30"/>
      <c r="G94" s="69"/>
      <c r="H94" s="71"/>
      <c r="I94" s="71"/>
      <c r="J94" s="71"/>
      <c r="K94" s="69"/>
      <c r="L94" s="69"/>
      <c r="M94" s="30"/>
      <c r="N94" s="30"/>
      <c r="O94" s="30"/>
      <c r="P94" s="70"/>
      <c r="Q94" s="70"/>
      <c r="R94" s="30"/>
      <c r="S94" s="30"/>
      <c r="T94" s="30"/>
    </row>
    <row r="95" spans="1:20" x14ac:dyDescent="0.25">
      <c r="A95" s="68"/>
      <c r="B95" s="68"/>
      <c r="C95" s="30"/>
      <c r="D95" s="30"/>
      <c r="E95" s="30"/>
      <c r="F95" s="30"/>
      <c r="G95" s="69"/>
      <c r="H95" s="71"/>
      <c r="I95" s="71"/>
      <c r="J95" s="71"/>
      <c r="K95" s="69"/>
      <c r="L95" s="69"/>
      <c r="M95" s="30"/>
      <c r="N95" s="30"/>
      <c r="O95" s="30"/>
      <c r="P95" s="70"/>
      <c r="Q95" s="70"/>
      <c r="R95" s="30"/>
      <c r="S95" s="30"/>
      <c r="T95" s="30"/>
    </row>
    <row r="96" spans="1:20" x14ac:dyDescent="0.25">
      <c r="A96" s="68"/>
      <c r="B96" s="68"/>
      <c r="C96" s="30"/>
      <c r="D96" s="30"/>
      <c r="E96" s="30"/>
      <c r="F96" s="30"/>
      <c r="G96" s="69"/>
      <c r="H96" s="71"/>
      <c r="I96" s="71"/>
      <c r="J96" s="71"/>
      <c r="K96" s="69"/>
      <c r="L96" s="69"/>
      <c r="M96" s="30"/>
      <c r="N96" s="30"/>
      <c r="O96" s="30"/>
      <c r="P96" s="70"/>
      <c r="Q96" s="70"/>
      <c r="R96" s="30"/>
      <c r="S96" s="30"/>
      <c r="T96" s="30"/>
    </row>
    <row r="97" spans="1:20" x14ac:dyDescent="0.25">
      <c r="A97" s="68"/>
      <c r="B97" s="68"/>
      <c r="C97" s="30"/>
      <c r="D97" s="30"/>
      <c r="E97" s="30"/>
      <c r="F97" s="30"/>
      <c r="G97" s="69"/>
      <c r="H97" s="71"/>
      <c r="I97" s="71"/>
      <c r="J97" s="71"/>
      <c r="K97" s="69"/>
      <c r="L97" s="69"/>
      <c r="M97" s="30"/>
      <c r="N97" s="30"/>
      <c r="O97" s="30"/>
      <c r="P97" s="70"/>
      <c r="Q97" s="70"/>
      <c r="R97" s="30"/>
      <c r="S97" s="30"/>
      <c r="T97" s="30"/>
    </row>
    <row r="107" spans="1:20" ht="27" customHeight="1" x14ac:dyDescent="0.25">
      <c r="A107" s="293" t="s">
        <v>163</v>
      </c>
      <c r="B107" s="293"/>
      <c r="C107" s="56" t="s">
        <v>165</v>
      </c>
      <c r="D107" s="56"/>
      <c r="E107" s="56"/>
      <c r="F107" s="294" t="s">
        <v>357</v>
      </c>
      <c r="G107" s="294"/>
      <c r="H107" s="294"/>
      <c r="I107" s="294"/>
      <c r="J107" s="294"/>
      <c r="K107" s="294"/>
      <c r="L107" s="294"/>
      <c r="M107" s="56"/>
      <c r="N107" s="56"/>
      <c r="O107" s="64" t="s">
        <v>167</v>
      </c>
      <c r="P107" s="65">
        <v>44652</v>
      </c>
      <c r="Q107" s="56"/>
      <c r="R107" s="56"/>
    </row>
    <row r="108" spans="1:20" ht="27" customHeight="1" thickBot="1" x14ac:dyDescent="0.3">
      <c r="A108" s="296" t="s">
        <v>164</v>
      </c>
      <c r="B108" s="296"/>
      <c r="C108" s="63" t="s">
        <v>166</v>
      </c>
      <c r="D108" s="63"/>
      <c r="E108" s="62"/>
      <c r="F108" s="295"/>
      <c r="G108" s="295"/>
      <c r="H108" s="295"/>
      <c r="I108" s="295"/>
      <c r="J108" s="295"/>
      <c r="K108" s="295"/>
      <c r="L108" s="295"/>
      <c r="M108" s="32"/>
      <c r="N108" s="32"/>
      <c r="O108" s="72" t="s">
        <v>168</v>
      </c>
      <c r="P108" s="73">
        <v>0.91666666666666663</v>
      </c>
      <c r="Q108" s="9"/>
      <c r="R108" s="9"/>
    </row>
    <row r="109" spans="1:20" x14ac:dyDescent="0.25">
      <c r="A109" s="58" t="s">
        <v>0</v>
      </c>
      <c r="B109" s="57" t="s">
        <v>20</v>
      </c>
      <c r="C109" s="93" t="s">
        <v>132</v>
      </c>
      <c r="D109" s="93" t="s">
        <v>133</v>
      </c>
      <c r="E109" s="93" t="s">
        <v>134</v>
      </c>
      <c r="F109" s="93" t="s">
        <v>135</v>
      </c>
      <c r="G109" s="27" t="s">
        <v>136</v>
      </c>
      <c r="H109" s="93" t="s">
        <v>139</v>
      </c>
      <c r="I109" s="98" t="s">
        <v>137</v>
      </c>
      <c r="J109" s="93" t="s">
        <v>144</v>
      </c>
      <c r="K109" s="93" t="s">
        <v>169</v>
      </c>
      <c r="L109" s="33" t="s">
        <v>170</v>
      </c>
      <c r="M109" s="75" t="s">
        <v>147</v>
      </c>
      <c r="N109" s="75" t="s">
        <v>148</v>
      </c>
      <c r="O109" s="75" t="s">
        <v>149</v>
      </c>
      <c r="P109" s="77" t="s">
        <v>150</v>
      </c>
      <c r="Q109" s="9"/>
      <c r="R109" s="9"/>
      <c r="S109" s="9"/>
      <c r="T109" s="9"/>
    </row>
    <row r="110" spans="1:20" x14ac:dyDescent="0.25">
      <c r="A110" s="15"/>
      <c r="B110" s="49" t="s">
        <v>142</v>
      </c>
      <c r="C110" s="50">
        <v>15</v>
      </c>
      <c r="D110" s="50">
        <v>15</v>
      </c>
      <c r="E110" s="50">
        <v>15</v>
      </c>
      <c r="F110" s="51">
        <v>15</v>
      </c>
      <c r="G110" s="52">
        <v>15</v>
      </c>
      <c r="H110" s="50">
        <v>10</v>
      </c>
      <c r="I110" s="50">
        <v>35</v>
      </c>
      <c r="J110" s="50">
        <v>40</v>
      </c>
      <c r="K110" s="53">
        <v>75</v>
      </c>
      <c r="L110" s="54">
        <v>75</v>
      </c>
      <c r="M110" s="55">
        <v>100</v>
      </c>
      <c r="N110" s="55" t="s">
        <v>151</v>
      </c>
      <c r="O110" s="54" t="s">
        <v>152</v>
      </c>
      <c r="P110" s="78" t="s">
        <v>153</v>
      </c>
    </row>
    <row r="111" spans="1:20" x14ac:dyDescent="0.25">
      <c r="A111" s="1" t="s">
        <v>57</v>
      </c>
      <c r="B111" s="29" t="s">
        <v>58</v>
      </c>
      <c r="C111" s="28">
        <v>2.6666666666666665</v>
      </c>
      <c r="D111" s="28">
        <v>4.333333333333333</v>
      </c>
      <c r="E111" s="28">
        <v>6.333333333333333</v>
      </c>
      <c r="F111" s="28">
        <f>(((SUM(Four_Semester_Office_Solution_Development[[#This Row],[Quiz 1]:[Quiz 3]]))/SUM($C$63:$E$63))*$F$63)</f>
        <v>4.4444444444444446</v>
      </c>
      <c r="G111" s="27">
        <f>ROUND(Four_Semester_Office_Solution_Development[[#This Row],[Quiz Average]],0)</f>
        <v>4</v>
      </c>
      <c r="H111" s="31">
        <v>7</v>
      </c>
      <c r="I111" s="28">
        <v>26</v>
      </c>
      <c r="J111" s="28">
        <v>22.5</v>
      </c>
      <c r="K111" s="28">
        <f>SUM(Four_Semester_Office_Solution_Development[[#This Row],[Assignment]:[Final]])</f>
        <v>48.5</v>
      </c>
      <c r="L111" s="42">
        <f>ROUND(Four_Semester_Office_Solution_Development[[#This Row],[Ass &amp; Final]],0)</f>
        <v>49</v>
      </c>
      <c r="M111" s="42">
        <f>SUM(G111,H111,L111)</f>
        <v>60</v>
      </c>
      <c r="N111" s="46" t="str">
        <f>IF(M111&gt;79,"A+",IF(M111&gt;74,"A",IF(M111&gt;69,"A-",IF(M111&gt;64,"B+",IF(M111&gt;59,"B",IF(M111&gt;54,"B-",IF(M111&gt;49,"C+",IF(M111&gt;44,"C",IF(M111&gt;39,"D",IF(M111&gt;0,"F","N/A"))))))))))</f>
        <v>B</v>
      </c>
      <c r="O111" s="44" t="str">
        <f>IF(M111&gt;79,"4.00",IF(M111&gt;74,"3.75",IF(M111&gt;69,"3.50",IF(M111&gt;64,"3.25",IF(M111&gt;59,"3.00",IF(M111&gt;54,"2.75",IF(M111&gt;49,"2.50",IF(M111&gt;44,"2.25",IF(M111&gt;39,"2.00",IF(M111&gt;0,"0.00","N/A"))))))))))</f>
        <v>3.00</v>
      </c>
      <c r="P111" s="79" t="str">
        <f>IF(M111&gt;79,"Outstanding",IF(M111&gt;74,"Excellent",IF(M111&gt;69,"Very Good",IF(M111&gt;64,"Good",IF(M111&gt;59,"Satisfactory",IF(M111&gt;54,"Above Average",IF(M111&gt;49,"Average",IF(M111&gt;44,"Bellow Average",IF(M111&gt;39,"Pass",IF(M111&gt;0,"Fail","N/A"))))))))))</f>
        <v>Satisfactory</v>
      </c>
    </row>
    <row r="112" spans="1:20" x14ac:dyDescent="0.25">
      <c r="A112" s="1" t="s">
        <v>56</v>
      </c>
      <c r="B112" s="29" t="s">
        <v>59</v>
      </c>
      <c r="C112" s="28">
        <v>2.6666666666666665</v>
      </c>
      <c r="D112" s="28">
        <v>4</v>
      </c>
      <c r="E112" s="28">
        <v>11</v>
      </c>
      <c r="F112" s="28">
        <f>(((SUM(Four_Semester_Office_Solution_Development[[#This Row],[Quiz 1]:[Quiz 3]]))/SUM($C$63:$E$63))*$F$63)</f>
        <v>5.8888888888888884</v>
      </c>
      <c r="G112" s="27">
        <f>ROUND(Four_Semester_Office_Solution_Development[[#This Row],[Quiz Average]],0)</f>
        <v>6</v>
      </c>
      <c r="H112" s="31">
        <v>2</v>
      </c>
      <c r="I112" s="28">
        <v>24</v>
      </c>
      <c r="J112" s="28">
        <v>4.5</v>
      </c>
      <c r="K112" s="28">
        <f>SUM(Four_Semester_Office_Solution_Development[[#This Row],[Assignment]:[Final]])</f>
        <v>28.5</v>
      </c>
      <c r="L112" s="42">
        <f>ROUND(Four_Semester_Office_Solution_Development[[#This Row],[Ass &amp; Final]],0)</f>
        <v>29</v>
      </c>
      <c r="M112" s="42">
        <f t="shared" ref="M112:M138" si="11">SUM(G112,H112,L112)</f>
        <v>37</v>
      </c>
      <c r="N112" s="46" t="str">
        <f t="shared" ref="N112:N138" si="12">IF(M112&gt;79,"A+",IF(M112&gt;74,"A",IF(M112&gt;69,"A-",IF(M112&gt;64,"B+",IF(M112&gt;59,"B",IF(M112&gt;54,"B-",IF(M112&gt;49,"C+",IF(M112&gt;44,"C",IF(M112&gt;39,"D",IF(M112&gt;0,"F","N/A"))))))))))</f>
        <v>F</v>
      </c>
      <c r="O112" s="44" t="str">
        <f t="shared" ref="O112:O138" si="13">IF(M112&gt;79,"4.00",IF(M112&gt;74,"3.75",IF(M112&gt;69,"3.50",IF(M112&gt;64,"3.25",IF(M112&gt;59,"3.00",IF(M112&gt;54,"2.75",IF(M112&gt;49,"2.50",IF(M112&gt;44,"2.25",IF(M112&gt;39,"2.00",IF(M112&gt;0,"0.00","N/A"))))))))))</f>
        <v>0.00</v>
      </c>
      <c r="P112" s="79" t="str">
        <f t="shared" ref="P112:P138" si="14">IF(M112&gt;79,"Outstanding",IF(M112&gt;74,"Excellent",IF(M112&gt;69,"Very Good",IF(M112&gt;64,"Good",IF(M112&gt;59,"Satisfactory",IF(M112&gt;54,"Above Average",IF(M112&gt;49,"Average",IF(M112&gt;44,"Bellow Average",IF(M112&gt;39,"Pass",IF(M112&gt;0,"Fail","N/A"))))))))))</f>
        <v>Fail</v>
      </c>
    </row>
    <row r="113" spans="1:16" x14ac:dyDescent="0.25">
      <c r="A113" s="1" t="s">
        <v>1</v>
      </c>
      <c r="B113" s="29" t="s">
        <v>27</v>
      </c>
      <c r="C113" s="28">
        <v>4.666666666666667</v>
      </c>
      <c r="D113" s="28">
        <v>11.666666666666666</v>
      </c>
      <c r="E113" s="28">
        <v>9.3333333333333339</v>
      </c>
      <c r="F113" s="28">
        <f>(((SUM(Four_Semester_Office_Solution_Development[[#This Row],[Quiz 1]:[Quiz 3]]))/SUM($C$63:$E$63))*$F$63)</f>
        <v>8.5555555555555554</v>
      </c>
      <c r="G113" s="27">
        <f>ROUND(Four_Semester_Office_Solution_Development[[#This Row],[Quiz Average]],0)</f>
        <v>9</v>
      </c>
      <c r="H113" s="31">
        <v>6</v>
      </c>
      <c r="I113" s="28">
        <v>7.5</v>
      </c>
      <c r="J113" s="28">
        <v>18</v>
      </c>
      <c r="K113" s="28">
        <f>SUM(Four_Semester_Office_Solution_Development[[#This Row],[Assignment]:[Final]])</f>
        <v>25.5</v>
      </c>
      <c r="L113" s="42">
        <f>ROUND(Four_Semester_Office_Solution_Development[[#This Row],[Ass &amp; Final]],0)</f>
        <v>26</v>
      </c>
      <c r="M113" s="42">
        <f t="shared" si="11"/>
        <v>41</v>
      </c>
      <c r="N113" s="46" t="str">
        <f t="shared" si="12"/>
        <v>D</v>
      </c>
      <c r="O113" s="44" t="str">
        <f t="shared" si="13"/>
        <v>2.00</v>
      </c>
      <c r="P113" s="34" t="str">
        <f t="shared" si="14"/>
        <v>Pass</v>
      </c>
    </row>
    <row r="114" spans="1:16" x14ac:dyDescent="0.25">
      <c r="A114" s="1" t="s">
        <v>2</v>
      </c>
      <c r="B114" s="29" t="s">
        <v>28</v>
      </c>
      <c r="C114" s="28">
        <v>6.333333333333333</v>
      </c>
      <c r="D114" s="28">
        <v>6.333333333333333</v>
      </c>
      <c r="E114" s="28">
        <v>7</v>
      </c>
      <c r="F114" s="28">
        <f>(((SUM(Four_Semester_Office_Solution_Development[[#This Row],[Quiz 1]:[Quiz 3]]))/SUM($C$63:$E$63))*$F$63)</f>
        <v>6.5555555555555554</v>
      </c>
      <c r="G114" s="27">
        <f>ROUND(Four_Semester_Office_Solution_Development[[#This Row],[Quiz Average]],0)</f>
        <v>7</v>
      </c>
      <c r="H114" s="31">
        <v>2</v>
      </c>
      <c r="I114" s="28">
        <v>29.5</v>
      </c>
      <c r="J114" s="28">
        <v>6</v>
      </c>
      <c r="K114" s="28">
        <f>SUM(Four_Semester_Office_Solution_Development[[#This Row],[Assignment]:[Final]])</f>
        <v>35.5</v>
      </c>
      <c r="L114" s="42">
        <f>ROUND(Four_Semester_Office_Solution_Development[[#This Row],[Ass &amp; Final]],0)</f>
        <v>36</v>
      </c>
      <c r="M114" s="42">
        <f t="shared" si="11"/>
        <v>45</v>
      </c>
      <c r="N114" s="46" t="str">
        <f t="shared" si="12"/>
        <v>C</v>
      </c>
      <c r="O114" s="44" t="str">
        <f t="shared" si="13"/>
        <v>2.25</v>
      </c>
      <c r="P114" s="34" t="str">
        <f t="shared" si="14"/>
        <v>Bellow Average</v>
      </c>
    </row>
    <row r="115" spans="1:16" x14ac:dyDescent="0.25">
      <c r="A115" s="1" t="s">
        <v>3</v>
      </c>
      <c r="B115" s="29" t="s">
        <v>29</v>
      </c>
      <c r="C115" s="28">
        <v>4.666666666666667</v>
      </c>
      <c r="D115" s="28">
        <v>6.666666666666667</v>
      </c>
      <c r="E115" s="28">
        <v>7</v>
      </c>
      <c r="F115" s="28">
        <f>(((SUM(Four_Semester_Office_Solution_Development[[#This Row],[Quiz 1]:[Quiz 3]]))/SUM($C$63:$E$63))*$F$63)</f>
        <v>6.1111111111111116</v>
      </c>
      <c r="G115" s="27">
        <f>ROUND(Four_Semester_Office_Solution_Development[[#This Row],[Quiz Average]],0)</f>
        <v>6</v>
      </c>
      <c r="H115" s="31">
        <v>9</v>
      </c>
      <c r="I115" s="28">
        <v>2</v>
      </c>
      <c r="J115" s="28">
        <v>12.5</v>
      </c>
      <c r="K115" s="28">
        <f>SUM(Four_Semester_Office_Solution_Development[[#This Row],[Assignment]:[Final]])</f>
        <v>14.5</v>
      </c>
      <c r="L115" s="42">
        <f>ROUND(Four_Semester_Office_Solution_Development[[#This Row],[Ass &amp; Final]],0)</f>
        <v>15</v>
      </c>
      <c r="M115" s="42">
        <f t="shared" si="11"/>
        <v>30</v>
      </c>
      <c r="N115" s="46" t="str">
        <f t="shared" si="12"/>
        <v>F</v>
      </c>
      <c r="O115" s="44" t="str">
        <f t="shared" si="13"/>
        <v>0.00</v>
      </c>
      <c r="P115" s="34" t="str">
        <f t="shared" si="14"/>
        <v>Fail</v>
      </c>
    </row>
    <row r="116" spans="1:16" x14ac:dyDescent="0.25">
      <c r="A116" s="1" t="s">
        <v>4</v>
      </c>
      <c r="B116" s="29" t="s">
        <v>30</v>
      </c>
      <c r="C116" s="28">
        <v>11.333333333333334</v>
      </c>
      <c r="D116" s="28">
        <v>8</v>
      </c>
      <c r="E116" s="28">
        <v>13.666666666666666</v>
      </c>
      <c r="F116" s="28">
        <f>(((SUM(Four_Semester_Office_Solution_Development[[#This Row],[Quiz 1]:[Quiz 3]]))/SUM($C$63:$E$63))*$F$63)</f>
        <v>11</v>
      </c>
      <c r="G116" s="27">
        <f>ROUND(Four_Semester_Office_Solution_Development[[#This Row],[Quiz Average]],0)</f>
        <v>11</v>
      </c>
      <c r="H116" s="31">
        <v>9</v>
      </c>
      <c r="I116" s="28">
        <v>10</v>
      </c>
      <c r="J116" s="28">
        <v>23</v>
      </c>
      <c r="K116" s="28">
        <f>SUM(Four_Semester_Office_Solution_Development[[#This Row],[Assignment]:[Final]])</f>
        <v>33</v>
      </c>
      <c r="L116" s="42">
        <f>ROUND(Four_Semester_Office_Solution_Development[[#This Row],[Ass &amp; Final]],0)</f>
        <v>33</v>
      </c>
      <c r="M116" s="42">
        <f t="shared" si="11"/>
        <v>53</v>
      </c>
      <c r="N116" s="46" t="str">
        <f t="shared" si="12"/>
        <v>C+</v>
      </c>
      <c r="O116" s="44" t="str">
        <f t="shared" si="13"/>
        <v>2.50</v>
      </c>
      <c r="P116" s="34" t="str">
        <f t="shared" si="14"/>
        <v>Average</v>
      </c>
    </row>
    <row r="117" spans="1:16" x14ac:dyDescent="0.25">
      <c r="A117" s="6" t="s">
        <v>5</v>
      </c>
      <c r="B117" s="225" t="s">
        <v>31</v>
      </c>
      <c r="C117" s="221"/>
      <c r="D117" s="221"/>
      <c r="E117" s="221"/>
      <c r="F117" s="221"/>
      <c r="G117" s="226"/>
      <c r="H117" s="220"/>
      <c r="I117" s="221"/>
      <c r="J117" s="221"/>
      <c r="K117" s="221"/>
      <c r="L117" s="222"/>
      <c r="M117" s="222"/>
      <c r="N117" s="223"/>
      <c r="O117" s="224"/>
      <c r="P117" s="219"/>
    </row>
    <row r="118" spans="1:16" x14ac:dyDescent="0.25">
      <c r="A118" s="1" t="s">
        <v>6</v>
      </c>
      <c r="B118" s="29" t="s">
        <v>32</v>
      </c>
      <c r="C118" s="28">
        <v>12</v>
      </c>
      <c r="D118" s="28">
        <v>11.333333333333334</v>
      </c>
      <c r="E118" s="28">
        <v>7.666666666666667</v>
      </c>
      <c r="F118" s="28">
        <f>(((SUM(Four_Semester_Office_Solution_Development[[#This Row],[Quiz 1]:[Quiz 3]]))/SUM($C$63:$E$63))*$F$63)</f>
        <v>10.333333333333336</v>
      </c>
      <c r="G118" s="27">
        <f>ROUND(Four_Semester_Office_Solution_Development[[#This Row],[Quiz Average]],0)</f>
        <v>10</v>
      </c>
      <c r="H118" s="31">
        <v>6</v>
      </c>
      <c r="I118" s="28">
        <v>31.5</v>
      </c>
      <c r="J118" s="28">
        <v>7</v>
      </c>
      <c r="K118" s="28">
        <f>SUM(Four_Semester_Office_Solution_Development[[#This Row],[Assignment]:[Final]])</f>
        <v>38.5</v>
      </c>
      <c r="L118" s="42">
        <f>ROUND(Four_Semester_Office_Solution_Development[[#This Row],[Ass &amp; Final]],0)</f>
        <v>39</v>
      </c>
      <c r="M118" s="42">
        <f t="shared" si="11"/>
        <v>55</v>
      </c>
      <c r="N118" s="46" t="str">
        <f t="shared" si="12"/>
        <v>B-</v>
      </c>
      <c r="O118" s="44" t="str">
        <f t="shared" si="13"/>
        <v>2.75</v>
      </c>
      <c r="P118" s="34" t="str">
        <f t="shared" si="14"/>
        <v>Above Average</v>
      </c>
    </row>
    <row r="119" spans="1:16" x14ac:dyDescent="0.25">
      <c r="A119" s="1" t="s">
        <v>7</v>
      </c>
      <c r="B119" s="29" t="s">
        <v>33</v>
      </c>
      <c r="C119" s="28">
        <v>11.333333333333334</v>
      </c>
      <c r="D119" s="28">
        <v>4.666666666666667</v>
      </c>
      <c r="E119" s="28">
        <v>5</v>
      </c>
      <c r="F119" s="28">
        <f>(((SUM(Four_Semester_Office_Solution_Development[[#This Row],[Quiz 1]:[Quiz 3]]))/SUM($C$63:$E$63))*$F$63)</f>
        <v>7</v>
      </c>
      <c r="G119" s="27">
        <f>ROUND(Four_Semester_Office_Solution_Development[[#This Row],[Quiz Average]],0)</f>
        <v>7</v>
      </c>
      <c r="H119" s="31">
        <v>6</v>
      </c>
      <c r="I119" s="28">
        <v>26</v>
      </c>
      <c r="J119" s="28">
        <v>3</v>
      </c>
      <c r="K119" s="28">
        <f>SUM(Four_Semester_Office_Solution_Development[[#This Row],[Assignment]:[Final]])</f>
        <v>29</v>
      </c>
      <c r="L119" s="42">
        <f>ROUND(Four_Semester_Office_Solution_Development[[#This Row],[Ass &amp; Final]],0)</f>
        <v>29</v>
      </c>
      <c r="M119" s="42">
        <f t="shared" si="11"/>
        <v>42</v>
      </c>
      <c r="N119" s="46" t="str">
        <f t="shared" si="12"/>
        <v>D</v>
      </c>
      <c r="O119" s="44" t="str">
        <f t="shared" si="13"/>
        <v>2.00</v>
      </c>
      <c r="P119" s="34" t="str">
        <f t="shared" si="14"/>
        <v>Pass</v>
      </c>
    </row>
    <row r="120" spans="1:16" x14ac:dyDescent="0.25">
      <c r="A120" s="1" t="s">
        <v>8</v>
      </c>
      <c r="B120" s="29" t="s">
        <v>34</v>
      </c>
      <c r="C120" s="28">
        <v>13.666666666666666</v>
      </c>
      <c r="D120" s="28">
        <v>6.333333333333333</v>
      </c>
      <c r="E120" s="28">
        <v>3.3333333333333335</v>
      </c>
      <c r="F120" s="28">
        <f>(((SUM(Four_Semester_Office_Solution_Development[[#This Row],[Quiz 1]:[Quiz 3]]))/SUM($C$63:$E$63))*$F$63)</f>
        <v>7.7777777777777777</v>
      </c>
      <c r="G120" s="27">
        <f>ROUND(Four_Semester_Office_Solution_Development[[#This Row],[Quiz Average]],0)</f>
        <v>8</v>
      </c>
      <c r="H120" s="31">
        <v>10</v>
      </c>
      <c r="I120" s="28">
        <v>7</v>
      </c>
      <c r="J120" s="28">
        <v>39</v>
      </c>
      <c r="K120" s="28">
        <f>SUM(Four_Semester_Office_Solution_Development[[#This Row],[Assignment]:[Final]])</f>
        <v>46</v>
      </c>
      <c r="L120" s="42">
        <f>ROUND(Four_Semester_Office_Solution_Development[[#This Row],[Ass &amp; Final]],0)</f>
        <v>46</v>
      </c>
      <c r="M120" s="42">
        <f t="shared" si="11"/>
        <v>64</v>
      </c>
      <c r="N120" s="46" t="str">
        <f t="shared" si="12"/>
        <v>B</v>
      </c>
      <c r="O120" s="44" t="str">
        <f t="shared" si="13"/>
        <v>3.00</v>
      </c>
      <c r="P120" s="34" t="str">
        <f t="shared" si="14"/>
        <v>Satisfactory</v>
      </c>
    </row>
    <row r="121" spans="1:16" x14ac:dyDescent="0.25">
      <c r="A121" s="1" t="s">
        <v>9</v>
      </c>
      <c r="B121" s="29" t="s">
        <v>35</v>
      </c>
      <c r="C121" s="28">
        <v>1.6666666666666667</v>
      </c>
      <c r="D121" s="28">
        <v>5</v>
      </c>
      <c r="E121" s="28">
        <v>8</v>
      </c>
      <c r="F121" s="28">
        <f>(((SUM(Four_Semester_Office_Solution_Development[[#This Row],[Quiz 1]:[Quiz 3]]))/SUM($C$63:$E$63))*$F$63)</f>
        <v>4.8888888888888893</v>
      </c>
      <c r="G121" s="27">
        <f>ROUND(Four_Semester_Office_Solution_Development[[#This Row],[Quiz Average]],0)</f>
        <v>5</v>
      </c>
      <c r="H121" s="31">
        <v>4</v>
      </c>
      <c r="I121" s="28">
        <v>20</v>
      </c>
      <c r="J121" s="28">
        <v>39.5</v>
      </c>
      <c r="K121" s="28">
        <f>SUM(Four_Semester_Office_Solution_Development[[#This Row],[Assignment]:[Final]])</f>
        <v>59.5</v>
      </c>
      <c r="L121" s="42">
        <f>ROUND(Four_Semester_Office_Solution_Development[[#This Row],[Ass &amp; Final]],0)</f>
        <v>60</v>
      </c>
      <c r="M121" s="42">
        <f t="shared" si="11"/>
        <v>69</v>
      </c>
      <c r="N121" s="46" t="str">
        <f t="shared" si="12"/>
        <v>B+</v>
      </c>
      <c r="O121" s="44" t="str">
        <f t="shared" si="13"/>
        <v>3.25</v>
      </c>
      <c r="P121" s="34" t="str">
        <f t="shared" si="14"/>
        <v>Good</v>
      </c>
    </row>
    <row r="122" spans="1:16" x14ac:dyDescent="0.25">
      <c r="A122" s="1" t="s">
        <v>10</v>
      </c>
      <c r="B122" s="29" t="s">
        <v>36</v>
      </c>
      <c r="C122" s="28">
        <v>4.333333333333333</v>
      </c>
      <c r="D122" s="28">
        <v>12.666666666666666</v>
      </c>
      <c r="E122" s="28">
        <v>2.6666666666666665</v>
      </c>
      <c r="F122" s="28">
        <f>(((SUM(Four_Semester_Office_Solution_Development[[#This Row],[Quiz 1]:[Quiz 3]]))/SUM($C$63:$E$63))*$F$63)</f>
        <v>6.5555555555555562</v>
      </c>
      <c r="G122" s="27">
        <f>ROUND(Four_Semester_Office_Solution_Development[[#This Row],[Quiz Average]],0)</f>
        <v>7</v>
      </c>
      <c r="H122" s="31">
        <v>8</v>
      </c>
      <c r="I122" s="28">
        <v>29.5</v>
      </c>
      <c r="J122" s="28">
        <v>20.5</v>
      </c>
      <c r="K122" s="28">
        <f>SUM(Four_Semester_Office_Solution_Development[[#This Row],[Assignment]:[Final]])</f>
        <v>50</v>
      </c>
      <c r="L122" s="42">
        <f>ROUND(Four_Semester_Office_Solution_Development[[#This Row],[Ass &amp; Final]],0)</f>
        <v>50</v>
      </c>
      <c r="M122" s="42">
        <f t="shared" si="11"/>
        <v>65</v>
      </c>
      <c r="N122" s="46" t="str">
        <f t="shared" si="12"/>
        <v>B+</v>
      </c>
      <c r="O122" s="44" t="str">
        <f t="shared" si="13"/>
        <v>3.25</v>
      </c>
      <c r="P122" s="34" t="str">
        <f t="shared" si="14"/>
        <v>Good</v>
      </c>
    </row>
    <row r="123" spans="1:16" x14ac:dyDescent="0.25">
      <c r="A123" s="6" t="s">
        <v>11</v>
      </c>
      <c r="B123" s="225" t="s">
        <v>31</v>
      </c>
      <c r="C123" s="221"/>
      <c r="D123" s="221"/>
      <c r="E123" s="221"/>
      <c r="F123" s="221"/>
      <c r="G123" s="226"/>
      <c r="H123" s="220"/>
      <c r="I123" s="221"/>
      <c r="J123" s="221"/>
      <c r="K123" s="221"/>
      <c r="L123" s="222"/>
      <c r="M123" s="222"/>
      <c r="N123" s="223"/>
      <c r="O123" s="224"/>
      <c r="P123" s="219"/>
    </row>
    <row r="124" spans="1:16" x14ac:dyDescent="0.25">
      <c r="A124" s="1" t="s">
        <v>12</v>
      </c>
      <c r="B124" s="29" t="s">
        <v>37</v>
      </c>
      <c r="C124" s="28">
        <v>11.666666666666666</v>
      </c>
      <c r="D124" s="28">
        <v>6.666666666666667</v>
      </c>
      <c r="E124" s="28">
        <v>3.3333333333333335</v>
      </c>
      <c r="F124" s="28">
        <f>(((SUM(Four_Semester_Office_Solution_Development[[#This Row],[Quiz 1]:[Quiz 3]]))/SUM($C$63:$E$63))*$F$63)</f>
        <v>7.2222222222222214</v>
      </c>
      <c r="G124" s="27">
        <f>ROUND(Four_Semester_Office_Solution_Development[[#This Row],[Quiz Average]],0)</f>
        <v>7</v>
      </c>
      <c r="H124" s="31">
        <v>7</v>
      </c>
      <c r="I124" s="28">
        <v>31.5</v>
      </c>
      <c r="J124" s="28">
        <v>11</v>
      </c>
      <c r="K124" s="28">
        <f>SUM(Four_Semester_Office_Solution_Development[[#This Row],[Assignment]:[Final]])</f>
        <v>42.5</v>
      </c>
      <c r="L124" s="42">
        <f>ROUND(Four_Semester_Office_Solution_Development[[#This Row],[Ass &amp; Final]],0)</f>
        <v>43</v>
      </c>
      <c r="M124" s="42">
        <f t="shared" si="11"/>
        <v>57</v>
      </c>
      <c r="N124" s="46" t="str">
        <f t="shared" si="12"/>
        <v>B-</v>
      </c>
      <c r="O124" s="44" t="str">
        <f t="shared" si="13"/>
        <v>2.75</v>
      </c>
      <c r="P124" s="34" t="str">
        <f t="shared" si="14"/>
        <v>Above Average</v>
      </c>
    </row>
    <row r="125" spans="1:16" x14ac:dyDescent="0.25">
      <c r="A125" s="1" t="s">
        <v>13</v>
      </c>
      <c r="B125" s="29" t="s">
        <v>38</v>
      </c>
      <c r="C125" s="28">
        <v>10.333333333333334</v>
      </c>
      <c r="D125" s="28">
        <v>1.3333333333333333</v>
      </c>
      <c r="E125" s="28">
        <v>13</v>
      </c>
      <c r="F125" s="28">
        <f>(((SUM(Four_Semester_Office_Solution_Development[[#This Row],[Quiz 1]:[Quiz 3]]))/SUM($C$63:$E$63))*$F$63)</f>
        <v>8.2222222222222232</v>
      </c>
      <c r="G125" s="27">
        <f>ROUND(Four_Semester_Office_Solution_Development[[#This Row],[Quiz Average]],0)</f>
        <v>8</v>
      </c>
      <c r="H125" s="31">
        <v>9</v>
      </c>
      <c r="I125" s="28">
        <v>14.5</v>
      </c>
      <c r="J125" s="28">
        <v>12</v>
      </c>
      <c r="K125" s="28">
        <f>SUM(Four_Semester_Office_Solution_Development[[#This Row],[Assignment]:[Final]])</f>
        <v>26.5</v>
      </c>
      <c r="L125" s="42">
        <f>ROUND(Four_Semester_Office_Solution_Development[[#This Row],[Ass &amp; Final]],0)</f>
        <v>27</v>
      </c>
      <c r="M125" s="42">
        <f t="shared" si="11"/>
        <v>44</v>
      </c>
      <c r="N125" s="46" t="str">
        <f t="shared" si="12"/>
        <v>D</v>
      </c>
      <c r="O125" s="44" t="str">
        <f t="shared" si="13"/>
        <v>2.00</v>
      </c>
      <c r="P125" s="34" t="str">
        <f t="shared" si="14"/>
        <v>Pass</v>
      </c>
    </row>
    <row r="126" spans="1:16" x14ac:dyDescent="0.25">
      <c r="A126" s="1" t="s">
        <v>14</v>
      </c>
      <c r="B126" s="29" t="s">
        <v>39</v>
      </c>
      <c r="C126" s="28">
        <v>4</v>
      </c>
      <c r="D126" s="28">
        <v>12.666666666666666</v>
      </c>
      <c r="E126" s="28">
        <v>7.333333333333333</v>
      </c>
      <c r="F126" s="28">
        <f>(((SUM(Four_Semester_Office_Solution_Development[[#This Row],[Quiz 1]:[Quiz 3]]))/SUM($C$63:$E$63))*$F$63)</f>
        <v>7.9999999999999982</v>
      </c>
      <c r="G126" s="27">
        <f>ROUND(Four_Semester_Office_Solution_Development[[#This Row],[Quiz Average]],0)</f>
        <v>8</v>
      </c>
      <c r="H126" s="31">
        <v>8</v>
      </c>
      <c r="I126" s="28">
        <v>11.5</v>
      </c>
      <c r="J126" s="28">
        <v>40</v>
      </c>
      <c r="K126" s="28">
        <f>SUM(Four_Semester_Office_Solution_Development[[#This Row],[Assignment]:[Final]])</f>
        <v>51.5</v>
      </c>
      <c r="L126" s="42">
        <f>ROUND(Four_Semester_Office_Solution_Development[[#This Row],[Ass &amp; Final]],0)</f>
        <v>52</v>
      </c>
      <c r="M126" s="42">
        <f t="shared" si="11"/>
        <v>68</v>
      </c>
      <c r="N126" s="46" t="str">
        <f t="shared" si="12"/>
        <v>B+</v>
      </c>
      <c r="O126" s="44" t="str">
        <f t="shared" si="13"/>
        <v>3.25</v>
      </c>
      <c r="P126" s="34" t="str">
        <f t="shared" si="14"/>
        <v>Good</v>
      </c>
    </row>
    <row r="127" spans="1:16" x14ac:dyDescent="0.25">
      <c r="A127" s="1" t="s">
        <v>15</v>
      </c>
      <c r="B127" s="29" t="s">
        <v>40</v>
      </c>
      <c r="C127" s="28">
        <v>9.6666666666666661</v>
      </c>
      <c r="D127" s="28">
        <v>4</v>
      </c>
      <c r="E127" s="28">
        <v>11.333333333333334</v>
      </c>
      <c r="F127" s="28">
        <f>(((SUM(Four_Semester_Office_Solution_Development[[#This Row],[Quiz 1]:[Quiz 3]]))/SUM($C$63:$E$63))*$F$63)</f>
        <v>8.3333333333333339</v>
      </c>
      <c r="G127" s="27">
        <f>ROUND(Four_Semester_Office_Solution_Development[[#This Row],[Quiz Average]],0)</f>
        <v>8</v>
      </c>
      <c r="H127" s="31">
        <v>10</v>
      </c>
      <c r="I127" s="28">
        <v>20</v>
      </c>
      <c r="J127" s="28">
        <v>10</v>
      </c>
      <c r="K127" s="28">
        <f>SUM(Four_Semester_Office_Solution_Development[[#This Row],[Assignment]:[Final]])</f>
        <v>30</v>
      </c>
      <c r="L127" s="42">
        <f>ROUND(Four_Semester_Office_Solution_Development[[#This Row],[Ass &amp; Final]],0)</f>
        <v>30</v>
      </c>
      <c r="M127" s="42">
        <f t="shared" si="11"/>
        <v>48</v>
      </c>
      <c r="N127" s="46" t="str">
        <f t="shared" si="12"/>
        <v>C</v>
      </c>
      <c r="O127" s="44" t="str">
        <f t="shared" si="13"/>
        <v>2.25</v>
      </c>
      <c r="P127" s="34" t="str">
        <f t="shared" si="14"/>
        <v>Bellow Average</v>
      </c>
    </row>
    <row r="128" spans="1:16" x14ac:dyDescent="0.25">
      <c r="A128" s="6" t="s">
        <v>16</v>
      </c>
      <c r="B128" s="225" t="s">
        <v>31</v>
      </c>
      <c r="C128" s="221"/>
      <c r="D128" s="221"/>
      <c r="E128" s="221"/>
      <c r="F128" s="221"/>
      <c r="G128" s="226"/>
      <c r="H128" s="220"/>
      <c r="I128" s="221"/>
      <c r="J128" s="221"/>
      <c r="K128" s="221"/>
      <c r="L128" s="222"/>
      <c r="M128" s="222"/>
      <c r="N128" s="223"/>
      <c r="O128" s="224"/>
      <c r="P128" s="219"/>
    </row>
    <row r="129" spans="1:20" x14ac:dyDescent="0.25">
      <c r="A129" s="1" t="s">
        <v>17</v>
      </c>
      <c r="B129" s="29" t="s">
        <v>41</v>
      </c>
      <c r="C129" s="28">
        <v>2</v>
      </c>
      <c r="D129" s="28">
        <v>4.333333333333333</v>
      </c>
      <c r="E129" s="28">
        <v>10</v>
      </c>
      <c r="F129" s="28">
        <f>(((SUM(Four_Semester_Office_Solution_Development[[#This Row],[Quiz 1]:[Quiz 3]]))/SUM($C$63:$E$63))*$F$63)</f>
        <v>5.4444444444444438</v>
      </c>
      <c r="G129" s="27">
        <f>ROUND(Four_Semester_Office_Solution_Development[[#This Row],[Quiz Average]],0)</f>
        <v>5</v>
      </c>
      <c r="H129" s="31">
        <v>2</v>
      </c>
      <c r="I129" s="28">
        <v>12.5</v>
      </c>
      <c r="J129" s="28">
        <v>32.5</v>
      </c>
      <c r="K129" s="28">
        <f>SUM(Four_Semester_Office_Solution_Development[[#This Row],[Assignment]:[Final]])</f>
        <v>45</v>
      </c>
      <c r="L129" s="42">
        <f>ROUND(Four_Semester_Office_Solution_Development[[#This Row],[Ass &amp; Final]],0)</f>
        <v>45</v>
      </c>
      <c r="M129" s="42">
        <f t="shared" si="11"/>
        <v>52</v>
      </c>
      <c r="N129" s="46" t="str">
        <f t="shared" si="12"/>
        <v>C+</v>
      </c>
      <c r="O129" s="44" t="str">
        <f t="shared" si="13"/>
        <v>2.50</v>
      </c>
      <c r="P129" s="34" t="str">
        <f t="shared" si="14"/>
        <v>Average</v>
      </c>
    </row>
    <row r="130" spans="1:20" x14ac:dyDescent="0.25">
      <c r="A130" s="1" t="s">
        <v>18</v>
      </c>
      <c r="B130" s="29" t="s">
        <v>42</v>
      </c>
      <c r="C130" s="28">
        <v>9</v>
      </c>
      <c r="D130" s="28">
        <v>13.666666666666666</v>
      </c>
      <c r="E130" s="28">
        <v>4.333333333333333</v>
      </c>
      <c r="F130" s="28">
        <f>(((SUM(Four_Semester_Office_Solution_Development[[#This Row],[Quiz 1]:[Quiz 3]]))/SUM($C$63:$E$63))*$F$63)</f>
        <v>8.9999999999999982</v>
      </c>
      <c r="G130" s="27">
        <f>ROUND(Four_Semester_Office_Solution_Development[[#This Row],[Quiz Average]],0)</f>
        <v>9</v>
      </c>
      <c r="H130" s="31">
        <v>6</v>
      </c>
      <c r="I130" s="28">
        <v>4</v>
      </c>
      <c r="J130" s="28">
        <v>37</v>
      </c>
      <c r="K130" s="28">
        <f>SUM(Four_Semester_Office_Solution_Development[[#This Row],[Assignment]:[Final]])</f>
        <v>41</v>
      </c>
      <c r="L130" s="42">
        <f>ROUND(Four_Semester_Office_Solution_Development[[#This Row],[Ass &amp; Final]],0)</f>
        <v>41</v>
      </c>
      <c r="M130" s="42">
        <f t="shared" si="11"/>
        <v>56</v>
      </c>
      <c r="N130" s="46" t="str">
        <f t="shared" si="12"/>
        <v>B-</v>
      </c>
      <c r="O130" s="44" t="str">
        <f t="shared" si="13"/>
        <v>2.75</v>
      </c>
      <c r="P130" s="34" t="str">
        <f t="shared" si="14"/>
        <v>Above Average</v>
      </c>
    </row>
    <row r="131" spans="1:20" x14ac:dyDescent="0.25">
      <c r="A131" s="1" t="s">
        <v>19</v>
      </c>
      <c r="B131" s="29" t="s">
        <v>43</v>
      </c>
      <c r="C131" s="28">
        <v>3.3333333333333335</v>
      </c>
      <c r="D131" s="28">
        <v>11.666666666666666</v>
      </c>
      <c r="E131" s="28">
        <v>3.3333333333333335</v>
      </c>
      <c r="F131" s="28">
        <f>(((SUM(Four_Semester_Office_Solution_Development[[#This Row],[Quiz 1]:[Quiz 3]]))/SUM($C$63:$E$63))*$F$63)</f>
        <v>6.1111111111111107</v>
      </c>
      <c r="G131" s="27">
        <f>ROUND(Four_Semester_Office_Solution_Development[[#This Row],[Quiz Average]],0)</f>
        <v>6</v>
      </c>
      <c r="H131" s="31">
        <v>4</v>
      </c>
      <c r="I131" s="28">
        <v>12.5</v>
      </c>
      <c r="J131" s="28">
        <v>25</v>
      </c>
      <c r="K131" s="28">
        <f>SUM(Four_Semester_Office_Solution_Development[[#This Row],[Assignment]:[Final]])</f>
        <v>37.5</v>
      </c>
      <c r="L131" s="42">
        <f>ROUND(Four_Semester_Office_Solution_Development[[#This Row],[Ass &amp; Final]],0)</f>
        <v>38</v>
      </c>
      <c r="M131" s="42">
        <f t="shared" si="11"/>
        <v>48</v>
      </c>
      <c r="N131" s="46" t="str">
        <f t="shared" si="12"/>
        <v>C</v>
      </c>
      <c r="O131" s="44" t="str">
        <f t="shared" si="13"/>
        <v>2.25</v>
      </c>
      <c r="P131" s="34" t="str">
        <f t="shared" si="14"/>
        <v>Bellow Average</v>
      </c>
    </row>
    <row r="132" spans="1:20" x14ac:dyDescent="0.25">
      <c r="A132" s="1" t="s">
        <v>23</v>
      </c>
      <c r="B132" s="29" t="s">
        <v>44</v>
      </c>
      <c r="C132" s="28">
        <v>13.666666666666666</v>
      </c>
      <c r="D132" s="28">
        <v>15</v>
      </c>
      <c r="E132" s="28">
        <v>13.333333333333334</v>
      </c>
      <c r="F132" s="28">
        <f>(((SUM(Four_Semester_Office_Solution_Development[[#This Row],[Quiz 1]:[Quiz 3]]))/SUM($C$63:$E$63))*$F$63)</f>
        <v>14</v>
      </c>
      <c r="G132" s="27">
        <f>ROUND(Four_Semester_Office_Solution_Development[[#This Row],[Quiz Average]],0)</f>
        <v>14</v>
      </c>
      <c r="H132" s="31">
        <v>4</v>
      </c>
      <c r="I132" s="28">
        <v>28.5</v>
      </c>
      <c r="J132" s="28">
        <v>16.5</v>
      </c>
      <c r="K132" s="28">
        <f>SUM(Four_Semester_Office_Solution_Development[[#This Row],[Assignment]:[Final]])</f>
        <v>45</v>
      </c>
      <c r="L132" s="42">
        <f>ROUND(Four_Semester_Office_Solution_Development[[#This Row],[Ass &amp; Final]],0)</f>
        <v>45</v>
      </c>
      <c r="M132" s="42">
        <f t="shared" si="11"/>
        <v>63</v>
      </c>
      <c r="N132" s="46" t="str">
        <f t="shared" si="12"/>
        <v>B</v>
      </c>
      <c r="O132" s="44" t="str">
        <f t="shared" si="13"/>
        <v>3.00</v>
      </c>
      <c r="P132" s="34" t="str">
        <f t="shared" si="14"/>
        <v>Satisfactory</v>
      </c>
    </row>
    <row r="133" spans="1:20" x14ac:dyDescent="0.25">
      <c r="A133" s="1" t="s">
        <v>24</v>
      </c>
      <c r="B133" s="29" t="s">
        <v>45</v>
      </c>
      <c r="C133" s="28">
        <v>1.6666666666666667</v>
      </c>
      <c r="D133" s="28">
        <v>10.666666666666666</v>
      </c>
      <c r="E133" s="28">
        <v>11.333333333333334</v>
      </c>
      <c r="F133" s="28">
        <f>(((SUM(Four_Semester_Office_Solution_Development[[#This Row],[Quiz 1]:[Quiz 3]]))/SUM($C$63:$E$63))*$F$63)</f>
        <v>7.8888888888888884</v>
      </c>
      <c r="G133" s="27">
        <f>ROUND(Four_Semester_Office_Solution_Development[[#This Row],[Quiz Average]],0)</f>
        <v>8</v>
      </c>
      <c r="H133" s="31">
        <v>10</v>
      </c>
      <c r="I133" s="28">
        <v>11</v>
      </c>
      <c r="J133" s="28">
        <v>23.5</v>
      </c>
      <c r="K133" s="28">
        <f>SUM(Four_Semester_Office_Solution_Development[[#This Row],[Assignment]:[Final]])</f>
        <v>34.5</v>
      </c>
      <c r="L133" s="42">
        <f>ROUND(Four_Semester_Office_Solution_Development[[#This Row],[Ass &amp; Final]],0)</f>
        <v>35</v>
      </c>
      <c r="M133" s="42">
        <f t="shared" si="11"/>
        <v>53</v>
      </c>
      <c r="N133" s="46" t="str">
        <f t="shared" si="12"/>
        <v>C+</v>
      </c>
      <c r="O133" s="44" t="str">
        <f t="shared" si="13"/>
        <v>2.50</v>
      </c>
      <c r="P133" s="34" t="str">
        <f t="shared" si="14"/>
        <v>Average</v>
      </c>
    </row>
    <row r="134" spans="1:20" x14ac:dyDescent="0.25">
      <c r="A134" s="1" t="s">
        <v>25</v>
      </c>
      <c r="B134" s="29" t="s">
        <v>46</v>
      </c>
      <c r="C134" s="28">
        <v>14.666666666666666</v>
      </c>
      <c r="D134" s="28">
        <v>6.666666666666667</v>
      </c>
      <c r="E134" s="28">
        <v>12.333333333333334</v>
      </c>
      <c r="F134" s="28">
        <f>(((SUM(Four_Semester_Office_Solution_Development[[#This Row],[Quiz 1]:[Quiz 3]]))/SUM($C$63:$E$63))*$F$63)</f>
        <v>11.222222222222221</v>
      </c>
      <c r="G134" s="27">
        <f>ROUND(Four_Semester_Office_Solution_Development[[#This Row],[Quiz Average]],0)</f>
        <v>11</v>
      </c>
      <c r="H134" s="31">
        <v>8</v>
      </c>
      <c r="I134" s="28">
        <v>14.5</v>
      </c>
      <c r="J134" s="28">
        <v>35.5</v>
      </c>
      <c r="K134" s="28">
        <f>SUM(Four_Semester_Office_Solution_Development[[#This Row],[Assignment]:[Final]])</f>
        <v>50</v>
      </c>
      <c r="L134" s="42">
        <f>ROUND(Four_Semester_Office_Solution_Development[[#This Row],[Ass &amp; Final]],0)</f>
        <v>50</v>
      </c>
      <c r="M134" s="42">
        <f t="shared" si="11"/>
        <v>69</v>
      </c>
      <c r="N134" s="46" t="str">
        <f t="shared" si="12"/>
        <v>B+</v>
      </c>
      <c r="O134" s="44" t="str">
        <f t="shared" si="13"/>
        <v>3.25</v>
      </c>
      <c r="P134" s="34" t="str">
        <f t="shared" si="14"/>
        <v>Good</v>
      </c>
    </row>
    <row r="135" spans="1:20" x14ac:dyDescent="0.25">
      <c r="A135" s="1" t="s">
        <v>26</v>
      </c>
      <c r="B135" s="29" t="s">
        <v>47</v>
      </c>
      <c r="C135" s="28">
        <v>10.666666666666666</v>
      </c>
      <c r="D135" s="28">
        <v>4.333333333333333</v>
      </c>
      <c r="E135" s="28">
        <v>12</v>
      </c>
      <c r="F135" s="28">
        <f>(((SUM(Four_Semester_Office_Solution_Development[[#This Row],[Quiz 1]:[Quiz 3]]))/SUM($C$63:$E$63))*$F$63)</f>
        <v>9</v>
      </c>
      <c r="G135" s="27">
        <f>ROUND(Four_Semester_Office_Solution_Development[[#This Row],[Quiz Average]],0)</f>
        <v>9</v>
      </c>
      <c r="H135" s="31">
        <v>8</v>
      </c>
      <c r="I135" s="28">
        <v>21</v>
      </c>
      <c r="J135" s="28">
        <v>30</v>
      </c>
      <c r="K135" s="28">
        <f>SUM(Four_Semester_Office_Solution_Development[[#This Row],[Assignment]:[Final]])</f>
        <v>51</v>
      </c>
      <c r="L135" s="42">
        <f>ROUND(Four_Semester_Office_Solution_Development[[#This Row],[Ass &amp; Final]],0)</f>
        <v>51</v>
      </c>
      <c r="M135" s="42">
        <f t="shared" si="11"/>
        <v>68</v>
      </c>
      <c r="N135" s="46" t="str">
        <f t="shared" si="12"/>
        <v>B+</v>
      </c>
      <c r="O135" s="44" t="str">
        <f t="shared" si="13"/>
        <v>3.25</v>
      </c>
      <c r="P135" s="34" t="str">
        <f t="shared" si="14"/>
        <v>Good</v>
      </c>
    </row>
    <row r="136" spans="1:20" x14ac:dyDescent="0.25">
      <c r="A136" s="1" t="s">
        <v>50</v>
      </c>
      <c r="B136" s="29" t="s">
        <v>51</v>
      </c>
      <c r="C136" s="28">
        <v>5</v>
      </c>
      <c r="D136" s="28">
        <v>4</v>
      </c>
      <c r="E136" s="28">
        <v>13.333333333333334</v>
      </c>
      <c r="F136" s="28">
        <f>(((SUM(Four_Semester_Office_Solution_Development[[#This Row],[Quiz 1]:[Quiz 3]]))/SUM($C$63:$E$63))*$F$63)</f>
        <v>7.4444444444444455</v>
      </c>
      <c r="G136" s="27">
        <f>ROUND(Four_Semester_Office_Solution_Development[[#This Row],[Quiz Average]],0)</f>
        <v>7</v>
      </c>
      <c r="H136" s="31">
        <v>2</v>
      </c>
      <c r="I136" s="28">
        <v>33.5</v>
      </c>
      <c r="J136" s="28">
        <v>38.5</v>
      </c>
      <c r="K136" s="28">
        <f>SUM(Four_Semester_Office_Solution_Development[[#This Row],[Assignment]:[Final]])</f>
        <v>72</v>
      </c>
      <c r="L136" s="42">
        <f>ROUND(Four_Semester_Office_Solution_Development[[#This Row],[Ass &amp; Final]],0)</f>
        <v>72</v>
      </c>
      <c r="M136" s="42">
        <f>SUM(G136,H136,L136)</f>
        <v>81</v>
      </c>
      <c r="N136" s="46" t="str">
        <f t="shared" si="12"/>
        <v>A+</v>
      </c>
      <c r="O136" s="44" t="str">
        <f t="shared" si="13"/>
        <v>4.00</v>
      </c>
      <c r="P136" s="34" t="str">
        <f t="shared" si="14"/>
        <v>Outstanding</v>
      </c>
    </row>
    <row r="137" spans="1:20" x14ac:dyDescent="0.25">
      <c r="A137" s="1" t="s">
        <v>53</v>
      </c>
      <c r="B137" s="29" t="s">
        <v>54</v>
      </c>
      <c r="C137" s="28">
        <v>7.333333333333333</v>
      </c>
      <c r="D137" s="28">
        <v>1.6666666666666667</v>
      </c>
      <c r="E137" s="28">
        <v>4.333333333333333</v>
      </c>
      <c r="F137" s="28">
        <f>(((SUM(Four_Semester_Office_Solution_Development[[#This Row],[Quiz 1]:[Quiz 3]]))/SUM($C$63:$E$63))*$F$63)</f>
        <v>4.4444444444444446</v>
      </c>
      <c r="G137" s="27">
        <f>ROUND(Four_Semester_Office_Solution_Development[[#This Row],[Quiz Average]],0)</f>
        <v>4</v>
      </c>
      <c r="H137" s="31">
        <v>3</v>
      </c>
      <c r="I137" s="28">
        <v>2</v>
      </c>
      <c r="J137" s="28">
        <v>20</v>
      </c>
      <c r="K137" s="28">
        <f>SUM(Four_Semester_Office_Solution_Development[[#This Row],[Assignment]:[Final]])</f>
        <v>22</v>
      </c>
      <c r="L137" s="42">
        <f>ROUND(Four_Semester_Office_Solution_Development[[#This Row],[Ass &amp; Final]],0)</f>
        <v>22</v>
      </c>
      <c r="M137" s="42">
        <f t="shared" si="11"/>
        <v>29</v>
      </c>
      <c r="N137" s="46" t="str">
        <f t="shared" si="12"/>
        <v>F</v>
      </c>
      <c r="O137" s="44" t="str">
        <f t="shared" si="13"/>
        <v>0.00</v>
      </c>
      <c r="P137" s="34" t="str">
        <f t="shared" si="14"/>
        <v>Fail</v>
      </c>
    </row>
    <row r="138" spans="1:20" ht="15.75" thickBot="1" x14ac:dyDescent="0.3">
      <c r="A138" s="35" t="s">
        <v>60</v>
      </c>
      <c r="B138" s="36" t="s">
        <v>61</v>
      </c>
      <c r="C138" s="37">
        <v>4.333333333333333</v>
      </c>
      <c r="D138" s="37">
        <v>9.3333333333333339</v>
      </c>
      <c r="E138" s="37">
        <v>4.666666666666667</v>
      </c>
      <c r="F138" s="37">
        <f>(((SUM(Four_Semester_Office_Solution_Development[[#This Row],[Quiz 1]:[Quiz 3]]))/SUM($C$63:$E$63))*$F$63)</f>
        <v>6.1111111111111116</v>
      </c>
      <c r="G138" s="38">
        <f>ROUND(Four_Semester_Office_Solution_Development[[#This Row],[Quiz Average]],0)</f>
        <v>6</v>
      </c>
      <c r="H138" s="39">
        <v>4</v>
      </c>
      <c r="I138" s="37">
        <v>27</v>
      </c>
      <c r="J138" s="37">
        <v>21.5</v>
      </c>
      <c r="K138" s="37">
        <f>SUM(Four_Semester_Office_Solution_Development[[#This Row],[Assignment]:[Final]])</f>
        <v>48.5</v>
      </c>
      <c r="L138" s="43">
        <f>ROUND(Four_Semester_Office_Solution_Development[[#This Row],[Ass &amp; Final]],0)</f>
        <v>49</v>
      </c>
      <c r="M138" s="76">
        <f t="shared" si="11"/>
        <v>59</v>
      </c>
      <c r="N138" s="47" t="str">
        <f t="shared" si="12"/>
        <v>B-</v>
      </c>
      <c r="O138" s="45" t="str">
        <f t="shared" si="13"/>
        <v>2.75</v>
      </c>
      <c r="P138" s="41" t="str">
        <f t="shared" si="14"/>
        <v>Above Average</v>
      </c>
    </row>
    <row r="139" spans="1:20" x14ac:dyDescent="0.25">
      <c r="A139" s="68"/>
      <c r="B139" s="68"/>
      <c r="C139" s="30"/>
      <c r="D139" s="30"/>
      <c r="E139" s="30"/>
      <c r="F139" s="30"/>
      <c r="G139" s="69"/>
      <c r="H139" s="71"/>
      <c r="I139" s="71"/>
      <c r="J139" s="71"/>
      <c r="K139" s="69"/>
      <c r="L139" s="69"/>
      <c r="M139" s="30"/>
      <c r="N139" s="30"/>
      <c r="O139" s="30"/>
      <c r="P139" s="70"/>
      <c r="Q139" s="70"/>
      <c r="R139" s="30"/>
      <c r="S139" s="30"/>
      <c r="T139" s="30"/>
    </row>
    <row r="140" spans="1:20" x14ac:dyDescent="0.25">
      <c r="A140" s="68"/>
      <c r="B140" s="68"/>
      <c r="C140" s="30"/>
      <c r="D140" s="30"/>
      <c r="E140" s="30"/>
      <c r="F140" s="30"/>
      <c r="G140" s="69"/>
      <c r="H140" s="71"/>
      <c r="I140" s="71"/>
      <c r="J140" s="71"/>
      <c r="K140" s="69"/>
      <c r="L140" s="69"/>
      <c r="M140" s="30"/>
      <c r="N140" s="30"/>
      <c r="O140" s="30"/>
      <c r="P140" s="70"/>
      <c r="Q140" s="70"/>
      <c r="R140" s="30"/>
      <c r="S140" s="30"/>
      <c r="T140" s="30"/>
    </row>
    <row r="141" spans="1:20" x14ac:dyDescent="0.25">
      <c r="A141" s="68"/>
      <c r="B141" s="68"/>
      <c r="C141" s="30"/>
      <c r="D141" s="30"/>
      <c r="E141" s="30"/>
      <c r="F141" s="30"/>
      <c r="G141" s="69"/>
      <c r="H141" s="71"/>
      <c r="I141" s="71"/>
      <c r="J141" s="71"/>
      <c r="K141" s="69"/>
      <c r="L141" s="69"/>
      <c r="M141" s="30"/>
      <c r="N141" s="30"/>
      <c r="O141" s="30"/>
      <c r="P141" s="70"/>
      <c r="Q141" s="70"/>
      <c r="R141" s="30"/>
      <c r="S141" s="30"/>
      <c r="T141" s="30"/>
    </row>
    <row r="142" spans="1:20" x14ac:dyDescent="0.25">
      <c r="A142" s="68"/>
      <c r="B142" s="68"/>
      <c r="C142" s="30"/>
      <c r="D142" s="30"/>
      <c r="E142" s="30"/>
      <c r="F142" s="30"/>
      <c r="G142" s="69"/>
      <c r="H142" s="71"/>
      <c r="I142" s="71"/>
      <c r="J142" s="71"/>
      <c r="K142" s="69"/>
      <c r="L142" s="69"/>
      <c r="M142" s="30"/>
      <c r="N142" s="30"/>
      <c r="O142" s="30"/>
      <c r="P142" s="70"/>
      <c r="Q142" s="70"/>
      <c r="R142" s="30"/>
      <c r="S142" s="30"/>
      <c r="T142" s="30"/>
    </row>
    <row r="143" spans="1:20" x14ac:dyDescent="0.25">
      <c r="A143" s="68"/>
      <c r="B143" s="68"/>
      <c r="C143" s="30"/>
      <c r="D143" s="30"/>
      <c r="E143" s="30"/>
      <c r="F143" s="30"/>
      <c r="G143" s="69"/>
      <c r="H143" s="71"/>
      <c r="I143" s="71"/>
      <c r="J143" s="71"/>
      <c r="K143" s="69"/>
      <c r="L143" s="69"/>
      <c r="M143" s="30"/>
      <c r="N143" s="30"/>
      <c r="O143" s="30"/>
      <c r="P143" s="70"/>
      <c r="Q143" s="70"/>
      <c r="R143" s="30"/>
      <c r="S143" s="30"/>
      <c r="T143" s="30"/>
    </row>
    <row r="144" spans="1:20" x14ac:dyDescent="0.25">
      <c r="A144" s="68"/>
      <c r="B144" s="68"/>
      <c r="C144" s="30"/>
      <c r="D144" s="30"/>
      <c r="E144" s="30"/>
      <c r="F144" s="30"/>
      <c r="G144" s="69"/>
      <c r="H144" s="71"/>
      <c r="I144" s="71"/>
      <c r="J144" s="71"/>
      <c r="K144" s="69"/>
      <c r="L144" s="69"/>
      <c r="M144" s="30"/>
      <c r="N144" s="30"/>
      <c r="O144" s="30"/>
      <c r="P144" s="70"/>
      <c r="Q144" s="70"/>
      <c r="R144" s="30"/>
      <c r="S144" s="30"/>
      <c r="T144" s="30"/>
    </row>
    <row r="154" spans="1:20" ht="27" customHeight="1" x14ac:dyDescent="0.25">
      <c r="A154" s="293" t="s">
        <v>163</v>
      </c>
      <c r="B154" s="293"/>
      <c r="C154" s="56" t="s">
        <v>165</v>
      </c>
      <c r="D154" s="56"/>
      <c r="E154" s="56"/>
      <c r="F154" s="294" t="s">
        <v>358</v>
      </c>
      <c r="G154" s="294"/>
      <c r="H154" s="294"/>
      <c r="I154" s="294"/>
      <c r="J154" s="294"/>
      <c r="K154" s="294"/>
      <c r="L154" s="294"/>
      <c r="M154" s="56"/>
      <c r="N154" s="56"/>
      <c r="O154" s="64" t="s">
        <v>167</v>
      </c>
      <c r="P154" s="65">
        <v>44652</v>
      </c>
      <c r="Q154" s="56"/>
      <c r="R154" s="56"/>
    </row>
    <row r="155" spans="1:20" ht="27" customHeight="1" thickBot="1" x14ac:dyDescent="0.3">
      <c r="A155" s="296" t="s">
        <v>164</v>
      </c>
      <c r="B155" s="296"/>
      <c r="C155" s="63" t="s">
        <v>166</v>
      </c>
      <c r="D155" s="63"/>
      <c r="E155" s="62"/>
      <c r="F155" s="295"/>
      <c r="G155" s="295"/>
      <c r="H155" s="295"/>
      <c r="I155" s="295"/>
      <c r="J155" s="295"/>
      <c r="K155" s="295"/>
      <c r="L155" s="295"/>
      <c r="M155" s="32"/>
      <c r="N155" s="32"/>
      <c r="O155" s="72" t="s">
        <v>168</v>
      </c>
      <c r="P155" s="73">
        <v>0.91666666666666663</v>
      </c>
      <c r="Q155" s="9"/>
      <c r="R155" s="9"/>
    </row>
    <row r="156" spans="1:20" x14ac:dyDescent="0.25">
      <c r="A156" s="58" t="s">
        <v>0</v>
      </c>
      <c r="B156" s="57" t="s">
        <v>20</v>
      </c>
      <c r="C156" s="93" t="s">
        <v>132</v>
      </c>
      <c r="D156" s="93" t="s">
        <v>133</v>
      </c>
      <c r="E156" s="93" t="s">
        <v>134</v>
      </c>
      <c r="F156" s="93" t="s">
        <v>135</v>
      </c>
      <c r="G156" s="27" t="s">
        <v>136</v>
      </c>
      <c r="H156" s="93" t="s">
        <v>139</v>
      </c>
      <c r="I156" s="98" t="s">
        <v>137</v>
      </c>
      <c r="J156" s="98" t="s">
        <v>144</v>
      </c>
      <c r="K156" s="93" t="s">
        <v>169</v>
      </c>
      <c r="L156" s="33" t="s">
        <v>170</v>
      </c>
      <c r="M156" s="75" t="s">
        <v>147</v>
      </c>
      <c r="N156" s="75" t="s">
        <v>148</v>
      </c>
      <c r="O156" s="75" t="s">
        <v>149</v>
      </c>
      <c r="P156" s="77" t="s">
        <v>150</v>
      </c>
      <c r="Q156" s="9"/>
      <c r="R156" s="9"/>
      <c r="S156" s="9"/>
      <c r="T156" s="9"/>
    </row>
    <row r="157" spans="1:20" x14ac:dyDescent="0.25">
      <c r="A157" s="15"/>
      <c r="B157" s="49" t="s">
        <v>142</v>
      </c>
      <c r="C157" s="50">
        <v>15</v>
      </c>
      <c r="D157" s="50">
        <v>15</v>
      </c>
      <c r="E157" s="50">
        <v>15</v>
      </c>
      <c r="F157" s="51">
        <v>15</v>
      </c>
      <c r="G157" s="52">
        <v>15</v>
      </c>
      <c r="H157" s="50">
        <v>10</v>
      </c>
      <c r="I157" s="50">
        <v>35</v>
      </c>
      <c r="J157" s="50">
        <v>40</v>
      </c>
      <c r="K157" s="53">
        <v>75</v>
      </c>
      <c r="L157" s="54">
        <v>75</v>
      </c>
      <c r="M157" s="55">
        <v>100</v>
      </c>
      <c r="N157" s="55" t="s">
        <v>151</v>
      </c>
      <c r="O157" s="54" t="s">
        <v>152</v>
      </c>
      <c r="P157" s="78" t="s">
        <v>153</v>
      </c>
    </row>
    <row r="158" spans="1:20" x14ac:dyDescent="0.25">
      <c r="A158" s="1" t="s">
        <v>57</v>
      </c>
      <c r="B158" s="29" t="s">
        <v>58</v>
      </c>
      <c r="C158" s="28">
        <v>3.3333333333333335</v>
      </c>
      <c r="D158" s="28">
        <v>1</v>
      </c>
      <c r="E158" s="28">
        <v>11</v>
      </c>
      <c r="F158" s="28">
        <f>(((SUM(Four_Semester_Algorithm[[#This Row],[Quiz 1]:[Quiz 3]]))/SUM($C$63:$E$63))*$F$63)</f>
        <v>5.1111111111111107</v>
      </c>
      <c r="G158" s="27">
        <f>ROUND(Four_Semester_Algorithm[[#This Row],[Quiz Average]],0)</f>
        <v>5</v>
      </c>
      <c r="H158" s="31">
        <v>5</v>
      </c>
      <c r="I158" s="28">
        <v>22</v>
      </c>
      <c r="J158" s="28">
        <v>20</v>
      </c>
      <c r="K158" s="28">
        <f>SUM(Four_Semester_Algorithm[[#This Row],[Assignment]:[Final]])</f>
        <v>42</v>
      </c>
      <c r="L158" s="42">
        <f>ROUND(Four_Semester_Algorithm[[#This Row],[Ass &amp; Final]],0)</f>
        <v>42</v>
      </c>
      <c r="M158" s="42">
        <f>SUM(G158,H158,L158)</f>
        <v>52</v>
      </c>
      <c r="N158" s="46" t="str">
        <f>IF(M158&gt;79,"A+",IF(M158&gt;74,"A",IF(M158&gt;69,"A-",IF(M158&gt;64,"B+",IF(M158&gt;59,"B",IF(M158&gt;54,"B-",IF(M158&gt;49,"C+",IF(M158&gt;44,"C",IF(M158&gt;39,"D",IF(M158&gt;0,"F","N/A"))))))))))</f>
        <v>C+</v>
      </c>
      <c r="O158" s="44" t="str">
        <f>IF(M158&gt;79,"4.00",IF(M158&gt;74,"3.75",IF(M158&gt;69,"3.50",IF(M158&gt;64,"3.25",IF(M158&gt;59,"3.00",IF(M158&gt;54,"2.75",IF(M158&gt;49,"2.50",IF(M158&gt;44,"2.25",IF(M158&gt;39,"2.00",IF(M158&gt;0,"0.00","N/A"))))))))))</f>
        <v>2.50</v>
      </c>
      <c r="P158" s="79" t="str">
        <f>IF(M158&gt;79,"Outstanding",IF(M158&gt;74,"Excellent",IF(M158&gt;69,"Very Good",IF(M158&gt;64,"Good",IF(M158&gt;59,"Satisfactory",IF(M158&gt;54,"Above Average",IF(M158&gt;49,"Average",IF(M158&gt;44,"Bellow Average",IF(M158&gt;39,"Pass",IF(M158&gt;0,"Fail","N/A"))))))))))</f>
        <v>Average</v>
      </c>
    </row>
    <row r="159" spans="1:20" x14ac:dyDescent="0.25">
      <c r="A159" s="1" t="s">
        <v>56</v>
      </c>
      <c r="B159" s="29" t="s">
        <v>59</v>
      </c>
      <c r="C159" s="28">
        <v>11.333333333333334</v>
      </c>
      <c r="D159" s="28">
        <v>13</v>
      </c>
      <c r="E159" s="28">
        <v>11.333333333333334</v>
      </c>
      <c r="F159" s="28">
        <f>(((SUM(Four_Semester_Algorithm[[#This Row],[Quiz 1]:[Quiz 3]]))/SUM($C$63:$E$63))*$F$63)</f>
        <v>11.888888888888891</v>
      </c>
      <c r="G159" s="27">
        <f>ROUND(Four_Semester_Algorithm[[#This Row],[Quiz Average]],0)</f>
        <v>12</v>
      </c>
      <c r="H159" s="31">
        <v>2</v>
      </c>
      <c r="I159" s="28">
        <v>5</v>
      </c>
      <c r="J159" s="28">
        <v>27</v>
      </c>
      <c r="K159" s="28">
        <f>SUM(Four_Semester_Algorithm[[#This Row],[Assignment]:[Final]])</f>
        <v>32</v>
      </c>
      <c r="L159" s="42">
        <f>ROUND(Four_Semester_Algorithm[[#This Row],[Ass &amp; Final]],0)</f>
        <v>32</v>
      </c>
      <c r="M159" s="42">
        <f t="shared" ref="M159:M163" si="15">SUM(G159,H159,L159)</f>
        <v>46</v>
      </c>
      <c r="N159" s="46" t="str">
        <f t="shared" ref="N159:N185" si="16">IF(M159&gt;79,"A+",IF(M159&gt;74,"A",IF(M159&gt;69,"A-",IF(M159&gt;64,"B+",IF(M159&gt;59,"B",IF(M159&gt;54,"B-",IF(M159&gt;49,"C+",IF(M159&gt;44,"C",IF(M159&gt;39,"D",IF(M159&gt;0,"F","N/A"))))))))))</f>
        <v>C</v>
      </c>
      <c r="O159" s="44" t="str">
        <f t="shared" ref="O159:O185" si="17">IF(M159&gt;79,"4.00",IF(M159&gt;74,"3.75",IF(M159&gt;69,"3.50",IF(M159&gt;64,"3.25",IF(M159&gt;59,"3.00",IF(M159&gt;54,"2.75",IF(M159&gt;49,"2.50",IF(M159&gt;44,"2.25",IF(M159&gt;39,"2.00",IF(M159&gt;0,"0.00","N/A"))))))))))</f>
        <v>2.25</v>
      </c>
      <c r="P159" s="79" t="str">
        <f t="shared" ref="P159:P185" si="18">IF(M159&gt;79,"Outstanding",IF(M159&gt;74,"Excellent",IF(M159&gt;69,"Very Good",IF(M159&gt;64,"Good",IF(M159&gt;59,"Satisfactory",IF(M159&gt;54,"Above Average",IF(M159&gt;49,"Average",IF(M159&gt;44,"Bellow Average",IF(M159&gt;39,"Pass",IF(M159&gt;0,"Fail","N/A"))))))))))</f>
        <v>Bellow Average</v>
      </c>
    </row>
    <row r="160" spans="1:20" x14ac:dyDescent="0.25">
      <c r="A160" s="1" t="s">
        <v>1</v>
      </c>
      <c r="B160" s="29" t="s">
        <v>27</v>
      </c>
      <c r="C160" s="28">
        <v>9</v>
      </c>
      <c r="D160" s="28">
        <v>7.333333333333333</v>
      </c>
      <c r="E160" s="28">
        <v>3.3333333333333335</v>
      </c>
      <c r="F160" s="28">
        <f>(((SUM(Four_Semester_Algorithm[[#This Row],[Quiz 1]:[Quiz 3]]))/SUM($C$63:$E$63))*$F$63)</f>
        <v>6.5555555555555554</v>
      </c>
      <c r="G160" s="27">
        <f>ROUND(Four_Semester_Algorithm[[#This Row],[Quiz Average]],0)</f>
        <v>7</v>
      </c>
      <c r="H160" s="31">
        <v>2</v>
      </c>
      <c r="I160" s="28">
        <v>8.5</v>
      </c>
      <c r="J160" s="28">
        <v>37.5</v>
      </c>
      <c r="K160" s="28">
        <f>SUM(Four_Semester_Algorithm[[#This Row],[Assignment]:[Final]])</f>
        <v>46</v>
      </c>
      <c r="L160" s="42">
        <f>ROUND(Four_Semester_Algorithm[[#This Row],[Ass &amp; Final]],0)</f>
        <v>46</v>
      </c>
      <c r="M160" s="42">
        <f t="shared" si="15"/>
        <v>55</v>
      </c>
      <c r="N160" s="46" t="str">
        <f t="shared" si="16"/>
        <v>B-</v>
      </c>
      <c r="O160" s="44" t="str">
        <f t="shared" si="17"/>
        <v>2.75</v>
      </c>
      <c r="P160" s="34" t="str">
        <f t="shared" si="18"/>
        <v>Above Average</v>
      </c>
    </row>
    <row r="161" spans="1:16" x14ac:dyDescent="0.25">
      <c r="A161" s="1" t="s">
        <v>2</v>
      </c>
      <c r="B161" s="29" t="s">
        <v>28</v>
      </c>
      <c r="C161" s="28">
        <v>4</v>
      </c>
      <c r="D161" s="28">
        <v>10.333333333333334</v>
      </c>
      <c r="E161" s="28">
        <v>3</v>
      </c>
      <c r="F161" s="28">
        <f>(((SUM(Four_Semester_Algorithm[[#This Row],[Quiz 1]:[Quiz 3]]))/SUM($C$63:$E$63))*$F$63)</f>
        <v>5.7777777777777786</v>
      </c>
      <c r="G161" s="27">
        <f>ROUND(Four_Semester_Algorithm[[#This Row],[Quiz Average]],0)</f>
        <v>6</v>
      </c>
      <c r="H161" s="31">
        <v>10</v>
      </c>
      <c r="I161" s="28">
        <v>16</v>
      </c>
      <c r="J161" s="28">
        <v>33</v>
      </c>
      <c r="K161" s="28">
        <f>SUM(Four_Semester_Algorithm[[#This Row],[Assignment]:[Final]])</f>
        <v>49</v>
      </c>
      <c r="L161" s="42">
        <f>ROUND(Four_Semester_Algorithm[[#This Row],[Ass &amp; Final]],0)</f>
        <v>49</v>
      </c>
      <c r="M161" s="42">
        <f t="shared" si="15"/>
        <v>65</v>
      </c>
      <c r="N161" s="46" t="str">
        <f t="shared" si="16"/>
        <v>B+</v>
      </c>
      <c r="O161" s="44" t="str">
        <f t="shared" si="17"/>
        <v>3.25</v>
      </c>
      <c r="P161" s="34" t="str">
        <f t="shared" si="18"/>
        <v>Good</v>
      </c>
    </row>
    <row r="162" spans="1:16" x14ac:dyDescent="0.25">
      <c r="A162" s="1" t="s">
        <v>3</v>
      </c>
      <c r="B162" s="29" t="s">
        <v>29</v>
      </c>
      <c r="C162" s="28">
        <v>11.333333333333334</v>
      </c>
      <c r="D162" s="28">
        <v>2.6666666666666665</v>
      </c>
      <c r="E162" s="28">
        <v>13</v>
      </c>
      <c r="F162" s="28">
        <f>(((SUM(Four_Semester_Algorithm[[#This Row],[Quiz 1]:[Quiz 3]]))/SUM($C$63:$E$63))*$F$63)</f>
        <v>9</v>
      </c>
      <c r="G162" s="27">
        <f>ROUND(Four_Semester_Algorithm[[#This Row],[Quiz Average]],0)</f>
        <v>9</v>
      </c>
      <c r="H162" s="31">
        <v>2</v>
      </c>
      <c r="I162" s="28">
        <v>33</v>
      </c>
      <c r="J162" s="28">
        <v>5.5</v>
      </c>
      <c r="K162" s="28">
        <f>SUM(Four_Semester_Algorithm[[#This Row],[Assignment]:[Final]])</f>
        <v>38.5</v>
      </c>
      <c r="L162" s="42">
        <f>ROUND(Four_Semester_Algorithm[[#This Row],[Ass &amp; Final]],0)</f>
        <v>39</v>
      </c>
      <c r="M162" s="42">
        <f t="shared" si="15"/>
        <v>50</v>
      </c>
      <c r="N162" s="46" t="str">
        <f t="shared" si="16"/>
        <v>C+</v>
      </c>
      <c r="O162" s="44" t="str">
        <f t="shared" si="17"/>
        <v>2.50</v>
      </c>
      <c r="P162" s="34" t="str">
        <f t="shared" si="18"/>
        <v>Average</v>
      </c>
    </row>
    <row r="163" spans="1:16" x14ac:dyDescent="0.25">
      <c r="A163" s="1" t="s">
        <v>4</v>
      </c>
      <c r="B163" s="29" t="s">
        <v>30</v>
      </c>
      <c r="C163" s="28">
        <v>7</v>
      </c>
      <c r="D163" s="28">
        <v>8</v>
      </c>
      <c r="E163" s="28">
        <v>5.333333333333333</v>
      </c>
      <c r="F163" s="28">
        <f>(((SUM(Four_Semester_Algorithm[[#This Row],[Quiz 1]:[Quiz 3]]))/SUM($C$63:$E$63))*$F$63)</f>
        <v>6.7777777777777777</v>
      </c>
      <c r="G163" s="27">
        <f>ROUND(Four_Semester_Algorithm[[#This Row],[Quiz Average]],0)</f>
        <v>7</v>
      </c>
      <c r="H163" s="31">
        <v>6</v>
      </c>
      <c r="I163" s="28">
        <v>31</v>
      </c>
      <c r="J163" s="28">
        <v>3.5</v>
      </c>
      <c r="K163" s="28">
        <f>SUM(Four_Semester_Algorithm[[#This Row],[Assignment]:[Final]])</f>
        <v>34.5</v>
      </c>
      <c r="L163" s="42">
        <f>ROUND(Four_Semester_Algorithm[[#This Row],[Ass &amp; Final]],0)</f>
        <v>35</v>
      </c>
      <c r="M163" s="42">
        <f t="shared" si="15"/>
        <v>48</v>
      </c>
      <c r="N163" s="46" t="str">
        <f t="shared" si="16"/>
        <v>C</v>
      </c>
      <c r="O163" s="44" t="str">
        <f t="shared" si="17"/>
        <v>2.25</v>
      </c>
      <c r="P163" s="34" t="str">
        <f t="shared" si="18"/>
        <v>Bellow Average</v>
      </c>
    </row>
    <row r="164" spans="1:16" x14ac:dyDescent="0.25">
      <c r="A164" s="6" t="s">
        <v>5</v>
      </c>
      <c r="B164" s="225" t="s">
        <v>31</v>
      </c>
      <c r="C164" s="221"/>
      <c r="D164" s="221"/>
      <c r="E164" s="221"/>
      <c r="F164" s="221"/>
      <c r="G164" s="226"/>
      <c r="H164" s="220"/>
      <c r="I164" s="221"/>
      <c r="J164" s="221"/>
      <c r="K164" s="221"/>
      <c r="L164" s="222"/>
      <c r="M164" s="222"/>
      <c r="N164" s="223"/>
      <c r="O164" s="224"/>
      <c r="P164" s="219"/>
    </row>
    <row r="165" spans="1:16" x14ac:dyDescent="0.25">
      <c r="A165" s="1" t="s">
        <v>6</v>
      </c>
      <c r="B165" s="29" t="s">
        <v>32</v>
      </c>
      <c r="C165" s="28">
        <v>8.3333333333333339</v>
      </c>
      <c r="D165" s="28">
        <v>4.333333333333333</v>
      </c>
      <c r="E165" s="28">
        <v>10.333333333333334</v>
      </c>
      <c r="F165" s="28">
        <f>(((SUM(Four_Semester_Algorithm[[#This Row],[Quiz 1]:[Quiz 3]]))/SUM($C$63:$E$63))*$F$63)</f>
        <v>7.6666666666666661</v>
      </c>
      <c r="G165" s="27">
        <f>ROUND(Four_Semester_Algorithm[[#This Row],[Quiz Average]],0)</f>
        <v>8</v>
      </c>
      <c r="H165" s="31">
        <v>8</v>
      </c>
      <c r="I165" s="28">
        <v>31</v>
      </c>
      <c r="J165" s="28">
        <v>37</v>
      </c>
      <c r="K165" s="28">
        <f>SUM(Four_Semester_Algorithm[[#This Row],[Assignment]:[Final]])</f>
        <v>68</v>
      </c>
      <c r="L165" s="42">
        <f>ROUND(Four_Semester_Algorithm[[#This Row],[Ass &amp; Final]],0)</f>
        <v>68</v>
      </c>
      <c r="M165" s="42">
        <f t="shared" ref="M165:M182" si="19">SUM(G165,H165,L165)</f>
        <v>84</v>
      </c>
      <c r="N165" s="46" t="str">
        <f t="shared" si="16"/>
        <v>A+</v>
      </c>
      <c r="O165" s="44" t="str">
        <f t="shared" si="17"/>
        <v>4.00</v>
      </c>
      <c r="P165" s="34" t="str">
        <f t="shared" si="18"/>
        <v>Outstanding</v>
      </c>
    </row>
    <row r="166" spans="1:16" x14ac:dyDescent="0.25">
      <c r="A166" s="1" t="s">
        <v>7</v>
      </c>
      <c r="B166" s="29" t="s">
        <v>33</v>
      </c>
      <c r="C166" s="28">
        <v>13.666666666666666</v>
      </c>
      <c r="D166" s="28">
        <v>13.666666666666666</v>
      </c>
      <c r="E166" s="28">
        <v>10.666666666666666</v>
      </c>
      <c r="F166" s="28">
        <f>(((SUM(Four_Semester_Algorithm[[#This Row],[Quiz 1]:[Quiz 3]]))/SUM($C$63:$E$63))*$F$63)</f>
        <v>12.666666666666666</v>
      </c>
      <c r="G166" s="27">
        <f>ROUND(Four_Semester_Algorithm[[#This Row],[Quiz Average]],0)</f>
        <v>13</v>
      </c>
      <c r="H166" s="31">
        <v>7</v>
      </c>
      <c r="I166" s="28">
        <v>7.5</v>
      </c>
      <c r="J166" s="28">
        <v>33</v>
      </c>
      <c r="K166" s="28">
        <f>SUM(Four_Semester_Algorithm[[#This Row],[Assignment]:[Final]])</f>
        <v>40.5</v>
      </c>
      <c r="L166" s="42">
        <f>ROUND(Four_Semester_Algorithm[[#This Row],[Ass &amp; Final]],0)</f>
        <v>41</v>
      </c>
      <c r="M166" s="42">
        <f t="shared" si="19"/>
        <v>61</v>
      </c>
      <c r="N166" s="46" t="str">
        <f t="shared" si="16"/>
        <v>B</v>
      </c>
      <c r="O166" s="44" t="str">
        <f t="shared" si="17"/>
        <v>3.00</v>
      </c>
      <c r="P166" s="34" t="str">
        <f t="shared" si="18"/>
        <v>Satisfactory</v>
      </c>
    </row>
    <row r="167" spans="1:16" x14ac:dyDescent="0.25">
      <c r="A167" s="1" t="s">
        <v>8</v>
      </c>
      <c r="B167" s="29" t="s">
        <v>34</v>
      </c>
      <c r="C167" s="28">
        <v>5</v>
      </c>
      <c r="D167" s="28">
        <v>9.6666666666666661</v>
      </c>
      <c r="E167" s="28">
        <v>1.6666666666666667</v>
      </c>
      <c r="F167" s="28">
        <f>(((SUM(Four_Semester_Algorithm[[#This Row],[Quiz 1]:[Quiz 3]]))/SUM($C$63:$E$63))*$F$63)</f>
        <v>5.4444444444444438</v>
      </c>
      <c r="G167" s="27">
        <f>ROUND(Four_Semester_Algorithm[[#This Row],[Quiz Average]],0)</f>
        <v>5</v>
      </c>
      <c r="H167" s="31">
        <v>9</v>
      </c>
      <c r="I167" s="28">
        <v>11.5</v>
      </c>
      <c r="J167" s="28">
        <v>11.5</v>
      </c>
      <c r="K167" s="28">
        <f>SUM(Four_Semester_Algorithm[[#This Row],[Assignment]:[Final]])</f>
        <v>23</v>
      </c>
      <c r="L167" s="42">
        <f>ROUND(Four_Semester_Algorithm[[#This Row],[Ass &amp; Final]],0)</f>
        <v>23</v>
      </c>
      <c r="M167" s="42">
        <f t="shared" si="19"/>
        <v>37</v>
      </c>
      <c r="N167" s="46" t="str">
        <f t="shared" si="16"/>
        <v>F</v>
      </c>
      <c r="O167" s="44" t="str">
        <f t="shared" si="17"/>
        <v>0.00</v>
      </c>
      <c r="P167" s="34" t="str">
        <f t="shared" si="18"/>
        <v>Fail</v>
      </c>
    </row>
    <row r="168" spans="1:16" x14ac:dyDescent="0.25">
      <c r="A168" s="1" t="s">
        <v>9</v>
      </c>
      <c r="B168" s="29" t="s">
        <v>35</v>
      </c>
      <c r="C168" s="28">
        <v>7.333333333333333</v>
      </c>
      <c r="D168" s="28">
        <v>14</v>
      </c>
      <c r="E168" s="28">
        <v>11</v>
      </c>
      <c r="F168" s="28">
        <f>(((SUM(Four_Semester_Algorithm[[#This Row],[Quiz 1]:[Quiz 3]]))/SUM($C$63:$E$63))*$F$63)</f>
        <v>10.777777777777777</v>
      </c>
      <c r="G168" s="27">
        <f>ROUND(Four_Semester_Algorithm[[#This Row],[Quiz Average]],0)</f>
        <v>11</v>
      </c>
      <c r="H168" s="31">
        <v>4</v>
      </c>
      <c r="I168" s="28">
        <v>25.5</v>
      </c>
      <c r="J168" s="28">
        <v>7.5</v>
      </c>
      <c r="K168" s="28">
        <f>SUM(Four_Semester_Algorithm[[#This Row],[Assignment]:[Final]])</f>
        <v>33</v>
      </c>
      <c r="L168" s="42">
        <f>ROUND(Four_Semester_Algorithm[[#This Row],[Ass &amp; Final]],0)</f>
        <v>33</v>
      </c>
      <c r="M168" s="42">
        <f t="shared" si="19"/>
        <v>48</v>
      </c>
      <c r="N168" s="46" t="str">
        <f t="shared" si="16"/>
        <v>C</v>
      </c>
      <c r="O168" s="44" t="str">
        <f t="shared" si="17"/>
        <v>2.25</v>
      </c>
      <c r="P168" s="34" t="str">
        <f t="shared" si="18"/>
        <v>Bellow Average</v>
      </c>
    </row>
    <row r="169" spans="1:16" x14ac:dyDescent="0.25">
      <c r="A169" s="1" t="s">
        <v>10</v>
      </c>
      <c r="B169" s="29" t="s">
        <v>36</v>
      </c>
      <c r="C169" s="28">
        <v>4.333333333333333</v>
      </c>
      <c r="D169" s="28">
        <v>2.6666666666666665</v>
      </c>
      <c r="E169" s="28">
        <v>9.3333333333333339</v>
      </c>
      <c r="F169" s="28">
        <f>(((SUM(Four_Semester_Algorithm[[#This Row],[Quiz 1]:[Quiz 3]]))/SUM($C$63:$E$63))*$F$63)</f>
        <v>5.4444444444444455</v>
      </c>
      <c r="G169" s="27">
        <f>ROUND(Four_Semester_Algorithm[[#This Row],[Quiz Average]],0)</f>
        <v>5</v>
      </c>
      <c r="H169" s="31">
        <v>7</v>
      </c>
      <c r="I169" s="28">
        <v>18</v>
      </c>
      <c r="J169" s="28">
        <v>11.5</v>
      </c>
      <c r="K169" s="28">
        <f>SUM(Four_Semester_Algorithm[[#This Row],[Assignment]:[Final]])</f>
        <v>29.5</v>
      </c>
      <c r="L169" s="42">
        <f>ROUND(Four_Semester_Algorithm[[#This Row],[Ass &amp; Final]],0)</f>
        <v>30</v>
      </c>
      <c r="M169" s="42">
        <f t="shared" si="19"/>
        <v>42</v>
      </c>
      <c r="N169" s="46" t="str">
        <f t="shared" si="16"/>
        <v>D</v>
      </c>
      <c r="O169" s="44" t="str">
        <f t="shared" si="17"/>
        <v>2.00</v>
      </c>
      <c r="P169" s="34" t="str">
        <f t="shared" si="18"/>
        <v>Pass</v>
      </c>
    </row>
    <row r="170" spans="1:16" x14ac:dyDescent="0.25">
      <c r="A170" s="6" t="s">
        <v>11</v>
      </c>
      <c r="B170" s="225" t="s">
        <v>31</v>
      </c>
      <c r="C170" s="221"/>
      <c r="D170" s="221"/>
      <c r="E170" s="221"/>
      <c r="F170" s="221"/>
      <c r="G170" s="226"/>
      <c r="H170" s="220"/>
      <c r="I170" s="221"/>
      <c r="J170" s="221"/>
      <c r="K170" s="221"/>
      <c r="L170" s="222"/>
      <c r="M170" s="222"/>
      <c r="N170" s="223"/>
      <c r="O170" s="224"/>
      <c r="P170" s="219"/>
    </row>
    <row r="171" spans="1:16" x14ac:dyDescent="0.25">
      <c r="A171" s="1" t="s">
        <v>12</v>
      </c>
      <c r="B171" s="29" t="s">
        <v>37</v>
      </c>
      <c r="C171" s="28">
        <v>12</v>
      </c>
      <c r="D171" s="28">
        <v>5.333333333333333</v>
      </c>
      <c r="E171" s="28">
        <v>6</v>
      </c>
      <c r="F171" s="28">
        <f>(((SUM(Four_Semester_Algorithm[[#This Row],[Quiz 1]:[Quiz 3]]))/SUM($C$63:$E$63))*$F$63)</f>
        <v>7.7777777777777777</v>
      </c>
      <c r="G171" s="27">
        <f>ROUND(Four_Semester_Algorithm[[#This Row],[Quiz Average]],0)</f>
        <v>8</v>
      </c>
      <c r="H171" s="31">
        <v>10</v>
      </c>
      <c r="I171" s="28">
        <v>15</v>
      </c>
      <c r="J171" s="28">
        <v>1.5</v>
      </c>
      <c r="K171" s="28">
        <f>SUM(Four_Semester_Algorithm[[#This Row],[Assignment]:[Final]])</f>
        <v>16.5</v>
      </c>
      <c r="L171" s="42">
        <f>ROUND(Four_Semester_Algorithm[[#This Row],[Ass &amp; Final]],0)</f>
        <v>17</v>
      </c>
      <c r="M171" s="42">
        <f t="shared" si="19"/>
        <v>35</v>
      </c>
      <c r="N171" s="46" t="str">
        <f t="shared" si="16"/>
        <v>F</v>
      </c>
      <c r="O171" s="44" t="str">
        <f t="shared" si="17"/>
        <v>0.00</v>
      </c>
      <c r="P171" s="34" t="str">
        <f t="shared" si="18"/>
        <v>Fail</v>
      </c>
    </row>
    <row r="172" spans="1:16" x14ac:dyDescent="0.25">
      <c r="A172" s="1" t="s">
        <v>13</v>
      </c>
      <c r="B172" s="29" t="s">
        <v>38</v>
      </c>
      <c r="C172" s="28">
        <v>2</v>
      </c>
      <c r="D172" s="28">
        <v>6.333333333333333</v>
      </c>
      <c r="E172" s="28">
        <v>4.666666666666667</v>
      </c>
      <c r="F172" s="28">
        <f>(((SUM(Four_Semester_Algorithm[[#This Row],[Quiz 1]:[Quiz 3]]))/SUM($C$63:$E$63))*$F$63)</f>
        <v>4.333333333333333</v>
      </c>
      <c r="G172" s="27">
        <f>ROUND(Four_Semester_Algorithm[[#This Row],[Quiz Average]],0)</f>
        <v>4</v>
      </c>
      <c r="H172" s="31">
        <v>3</v>
      </c>
      <c r="I172" s="28">
        <v>25.5</v>
      </c>
      <c r="J172" s="28">
        <v>40</v>
      </c>
      <c r="K172" s="28">
        <f>SUM(Four_Semester_Algorithm[[#This Row],[Assignment]:[Final]])</f>
        <v>65.5</v>
      </c>
      <c r="L172" s="42">
        <f>ROUND(Four_Semester_Algorithm[[#This Row],[Ass &amp; Final]],0)</f>
        <v>66</v>
      </c>
      <c r="M172" s="42">
        <f t="shared" si="19"/>
        <v>73</v>
      </c>
      <c r="N172" s="46" t="str">
        <f t="shared" si="16"/>
        <v>A-</v>
      </c>
      <c r="O172" s="44" t="str">
        <f t="shared" si="17"/>
        <v>3.50</v>
      </c>
      <c r="P172" s="34" t="str">
        <f t="shared" si="18"/>
        <v>Very Good</v>
      </c>
    </row>
    <row r="173" spans="1:16" x14ac:dyDescent="0.25">
      <c r="A173" s="1" t="s">
        <v>14</v>
      </c>
      <c r="B173" s="29" t="s">
        <v>39</v>
      </c>
      <c r="C173" s="28">
        <v>10.666666666666666</v>
      </c>
      <c r="D173" s="28">
        <v>9.3333333333333339</v>
      </c>
      <c r="E173" s="28">
        <v>5</v>
      </c>
      <c r="F173" s="28">
        <f>(((SUM(Four_Semester_Algorithm[[#This Row],[Quiz 1]:[Quiz 3]]))/SUM($C$63:$E$63))*$F$63)</f>
        <v>8.3333333333333339</v>
      </c>
      <c r="G173" s="27">
        <f>ROUND(Four_Semester_Algorithm[[#This Row],[Quiz Average]],0)</f>
        <v>8</v>
      </c>
      <c r="H173" s="31">
        <v>6</v>
      </c>
      <c r="I173" s="28">
        <v>2.5</v>
      </c>
      <c r="J173" s="28">
        <v>22</v>
      </c>
      <c r="K173" s="28">
        <f>SUM(Four_Semester_Algorithm[[#This Row],[Assignment]:[Final]])</f>
        <v>24.5</v>
      </c>
      <c r="L173" s="42">
        <f>ROUND(Four_Semester_Algorithm[[#This Row],[Ass &amp; Final]],0)</f>
        <v>25</v>
      </c>
      <c r="M173" s="42">
        <f t="shared" si="19"/>
        <v>39</v>
      </c>
      <c r="N173" s="46" t="str">
        <f t="shared" si="16"/>
        <v>F</v>
      </c>
      <c r="O173" s="44" t="str">
        <f t="shared" si="17"/>
        <v>0.00</v>
      </c>
      <c r="P173" s="34" t="str">
        <f t="shared" si="18"/>
        <v>Fail</v>
      </c>
    </row>
    <row r="174" spans="1:16" x14ac:dyDescent="0.25">
      <c r="A174" s="1" t="s">
        <v>15</v>
      </c>
      <c r="B174" s="29" t="s">
        <v>40</v>
      </c>
      <c r="C174" s="28">
        <v>8.6666666666666661</v>
      </c>
      <c r="D174" s="28">
        <v>9</v>
      </c>
      <c r="E174" s="28">
        <v>10.666666666666666</v>
      </c>
      <c r="F174" s="28">
        <f>(((SUM(Four_Semester_Algorithm[[#This Row],[Quiz 1]:[Quiz 3]]))/SUM($C$63:$E$63))*$F$63)</f>
        <v>9.4444444444444429</v>
      </c>
      <c r="G174" s="27">
        <f>ROUND(Four_Semester_Algorithm[[#This Row],[Quiz Average]],0)</f>
        <v>9</v>
      </c>
      <c r="H174" s="31">
        <v>8</v>
      </c>
      <c r="I174" s="28">
        <v>6</v>
      </c>
      <c r="J174" s="28">
        <v>39.5</v>
      </c>
      <c r="K174" s="28">
        <f>SUM(Four_Semester_Algorithm[[#This Row],[Assignment]:[Final]])</f>
        <v>45.5</v>
      </c>
      <c r="L174" s="42">
        <f>ROUND(Four_Semester_Algorithm[[#This Row],[Ass &amp; Final]],0)</f>
        <v>46</v>
      </c>
      <c r="M174" s="42">
        <f t="shared" si="19"/>
        <v>63</v>
      </c>
      <c r="N174" s="46" t="str">
        <f t="shared" si="16"/>
        <v>B</v>
      </c>
      <c r="O174" s="44" t="str">
        <f t="shared" si="17"/>
        <v>3.00</v>
      </c>
      <c r="P174" s="34" t="str">
        <f t="shared" si="18"/>
        <v>Satisfactory</v>
      </c>
    </row>
    <row r="175" spans="1:16" x14ac:dyDescent="0.25">
      <c r="A175" s="6" t="s">
        <v>16</v>
      </c>
      <c r="B175" s="225" t="s">
        <v>31</v>
      </c>
      <c r="C175" s="221"/>
      <c r="D175" s="221"/>
      <c r="E175" s="221"/>
      <c r="F175" s="221"/>
      <c r="G175" s="226"/>
      <c r="H175" s="220"/>
      <c r="I175" s="221"/>
      <c r="J175" s="221"/>
      <c r="K175" s="221"/>
      <c r="L175" s="222"/>
      <c r="M175" s="222"/>
      <c r="N175" s="223"/>
      <c r="O175" s="224"/>
      <c r="P175" s="219"/>
    </row>
    <row r="176" spans="1:16" x14ac:dyDescent="0.25">
      <c r="A176" s="1" t="s">
        <v>17</v>
      </c>
      <c r="B176" s="29" t="s">
        <v>41</v>
      </c>
      <c r="C176" s="28">
        <v>3.6666666666666665</v>
      </c>
      <c r="D176" s="28">
        <v>2.6666666666666665</v>
      </c>
      <c r="E176" s="28">
        <v>3</v>
      </c>
      <c r="F176" s="28">
        <f>(((SUM(Four_Semester_Algorithm[[#This Row],[Quiz 1]:[Quiz 3]]))/SUM($C$63:$E$63))*$F$63)</f>
        <v>3.1111111111111107</v>
      </c>
      <c r="G176" s="27">
        <f>ROUND(Four_Semester_Algorithm[[#This Row],[Quiz Average]],0)</f>
        <v>3</v>
      </c>
      <c r="H176" s="31">
        <v>6</v>
      </c>
      <c r="I176" s="28">
        <v>2.5</v>
      </c>
      <c r="J176" s="28">
        <v>38.5</v>
      </c>
      <c r="K176" s="28">
        <f>SUM(Four_Semester_Algorithm[[#This Row],[Assignment]:[Final]])</f>
        <v>41</v>
      </c>
      <c r="L176" s="42">
        <f>ROUND(Four_Semester_Algorithm[[#This Row],[Ass &amp; Final]],0)</f>
        <v>41</v>
      </c>
      <c r="M176" s="42">
        <f t="shared" si="19"/>
        <v>50</v>
      </c>
      <c r="N176" s="46" t="str">
        <f t="shared" si="16"/>
        <v>C+</v>
      </c>
      <c r="O176" s="44" t="str">
        <f t="shared" si="17"/>
        <v>2.50</v>
      </c>
      <c r="P176" s="34" t="str">
        <f t="shared" si="18"/>
        <v>Average</v>
      </c>
    </row>
    <row r="177" spans="1:20" x14ac:dyDescent="0.25">
      <c r="A177" s="1" t="s">
        <v>18</v>
      </c>
      <c r="B177" s="29" t="s">
        <v>42</v>
      </c>
      <c r="C177" s="28">
        <v>6.666666666666667</v>
      </c>
      <c r="D177" s="28">
        <v>7.333333333333333</v>
      </c>
      <c r="E177" s="28">
        <v>8.3333333333333339</v>
      </c>
      <c r="F177" s="28">
        <f>(((SUM(Four_Semester_Algorithm[[#This Row],[Quiz 1]:[Quiz 3]]))/SUM($C$63:$E$63))*$F$63)</f>
        <v>7.4444444444444455</v>
      </c>
      <c r="G177" s="27">
        <f>ROUND(Four_Semester_Algorithm[[#This Row],[Quiz Average]],0)</f>
        <v>7</v>
      </c>
      <c r="H177" s="31">
        <v>8</v>
      </c>
      <c r="I177" s="28">
        <v>11.5</v>
      </c>
      <c r="J177" s="28">
        <v>31.5</v>
      </c>
      <c r="K177" s="28">
        <f>SUM(Four_Semester_Algorithm[[#This Row],[Assignment]:[Final]])</f>
        <v>43</v>
      </c>
      <c r="L177" s="42">
        <f>ROUND(Four_Semester_Algorithm[[#This Row],[Ass &amp; Final]],0)</f>
        <v>43</v>
      </c>
      <c r="M177" s="42">
        <f t="shared" si="19"/>
        <v>58</v>
      </c>
      <c r="N177" s="46" t="str">
        <f t="shared" si="16"/>
        <v>B-</v>
      </c>
      <c r="O177" s="44" t="str">
        <f t="shared" si="17"/>
        <v>2.75</v>
      </c>
      <c r="P177" s="34" t="str">
        <f t="shared" si="18"/>
        <v>Above Average</v>
      </c>
    </row>
    <row r="178" spans="1:20" x14ac:dyDescent="0.25">
      <c r="A178" s="1" t="s">
        <v>19</v>
      </c>
      <c r="B178" s="29" t="s">
        <v>43</v>
      </c>
      <c r="C178" s="28">
        <v>6.333333333333333</v>
      </c>
      <c r="D178" s="28">
        <v>7</v>
      </c>
      <c r="E178" s="28">
        <v>9.6666666666666661</v>
      </c>
      <c r="F178" s="28">
        <f>(((SUM(Four_Semester_Algorithm[[#This Row],[Quiz 1]:[Quiz 3]]))/SUM($C$63:$E$63))*$F$63)</f>
        <v>7.6666666666666661</v>
      </c>
      <c r="G178" s="27">
        <f>ROUND(Four_Semester_Algorithm[[#This Row],[Quiz Average]],0)</f>
        <v>8</v>
      </c>
      <c r="H178" s="31">
        <v>7</v>
      </c>
      <c r="I178" s="28">
        <v>16</v>
      </c>
      <c r="J178" s="28">
        <v>33.5</v>
      </c>
      <c r="K178" s="28">
        <f>SUM(Four_Semester_Algorithm[[#This Row],[Assignment]:[Final]])</f>
        <v>49.5</v>
      </c>
      <c r="L178" s="42">
        <f>ROUND(Four_Semester_Algorithm[[#This Row],[Ass &amp; Final]],0)</f>
        <v>50</v>
      </c>
      <c r="M178" s="42">
        <f t="shared" si="19"/>
        <v>65</v>
      </c>
      <c r="N178" s="46" t="str">
        <f t="shared" si="16"/>
        <v>B+</v>
      </c>
      <c r="O178" s="44" t="str">
        <f t="shared" si="17"/>
        <v>3.25</v>
      </c>
      <c r="P178" s="34" t="str">
        <f t="shared" si="18"/>
        <v>Good</v>
      </c>
    </row>
    <row r="179" spans="1:20" x14ac:dyDescent="0.25">
      <c r="A179" s="1" t="s">
        <v>23</v>
      </c>
      <c r="B179" s="29" t="s">
        <v>44</v>
      </c>
      <c r="C179" s="28">
        <v>11.666666666666666</v>
      </c>
      <c r="D179" s="28">
        <v>2.3333333333333335</v>
      </c>
      <c r="E179" s="28">
        <v>13.666666666666666</v>
      </c>
      <c r="F179" s="28">
        <f>(((SUM(Four_Semester_Algorithm[[#This Row],[Quiz 1]:[Quiz 3]]))/SUM($C$63:$E$63))*$F$63)</f>
        <v>9.2222222222222214</v>
      </c>
      <c r="G179" s="27">
        <f>ROUND(Four_Semester_Algorithm[[#This Row],[Quiz Average]],0)</f>
        <v>9</v>
      </c>
      <c r="H179" s="31">
        <v>3</v>
      </c>
      <c r="I179" s="28">
        <v>20.5</v>
      </c>
      <c r="J179" s="28">
        <v>31.5</v>
      </c>
      <c r="K179" s="28">
        <f>SUM(Four_Semester_Algorithm[[#This Row],[Assignment]:[Final]])</f>
        <v>52</v>
      </c>
      <c r="L179" s="42">
        <f>ROUND(Four_Semester_Algorithm[[#This Row],[Ass &amp; Final]],0)</f>
        <v>52</v>
      </c>
      <c r="M179" s="42">
        <f t="shared" si="19"/>
        <v>64</v>
      </c>
      <c r="N179" s="46" t="str">
        <f t="shared" si="16"/>
        <v>B</v>
      </c>
      <c r="O179" s="44" t="str">
        <f t="shared" si="17"/>
        <v>3.00</v>
      </c>
      <c r="P179" s="34" t="str">
        <f t="shared" si="18"/>
        <v>Satisfactory</v>
      </c>
    </row>
    <row r="180" spans="1:20" x14ac:dyDescent="0.25">
      <c r="A180" s="1" t="s">
        <v>24</v>
      </c>
      <c r="B180" s="29" t="s">
        <v>45</v>
      </c>
      <c r="C180" s="28">
        <v>1.6666666666666667</v>
      </c>
      <c r="D180" s="28">
        <v>11</v>
      </c>
      <c r="E180" s="28">
        <v>6</v>
      </c>
      <c r="F180" s="28">
        <f>(((SUM(Four_Semester_Algorithm[[#This Row],[Quiz 1]:[Quiz 3]]))/SUM($C$63:$E$63))*$F$63)</f>
        <v>6.2222222222222214</v>
      </c>
      <c r="G180" s="27">
        <f>ROUND(Four_Semester_Algorithm[[#This Row],[Quiz Average]],0)</f>
        <v>6</v>
      </c>
      <c r="H180" s="31">
        <v>4</v>
      </c>
      <c r="I180" s="28">
        <v>22</v>
      </c>
      <c r="J180" s="28">
        <v>10.5</v>
      </c>
      <c r="K180" s="28">
        <f>SUM(Four_Semester_Algorithm[[#This Row],[Assignment]:[Final]])</f>
        <v>32.5</v>
      </c>
      <c r="L180" s="42">
        <f>ROUND(Four_Semester_Algorithm[[#This Row],[Ass &amp; Final]],0)</f>
        <v>33</v>
      </c>
      <c r="M180" s="42">
        <f t="shared" si="19"/>
        <v>43</v>
      </c>
      <c r="N180" s="46" t="str">
        <f t="shared" si="16"/>
        <v>D</v>
      </c>
      <c r="O180" s="44" t="str">
        <f t="shared" si="17"/>
        <v>2.00</v>
      </c>
      <c r="P180" s="34" t="str">
        <f t="shared" si="18"/>
        <v>Pass</v>
      </c>
    </row>
    <row r="181" spans="1:20" x14ac:dyDescent="0.25">
      <c r="A181" s="1" t="s">
        <v>25</v>
      </c>
      <c r="B181" s="29" t="s">
        <v>46</v>
      </c>
      <c r="C181" s="28">
        <v>2</v>
      </c>
      <c r="D181" s="28">
        <v>12</v>
      </c>
      <c r="E181" s="28">
        <v>4.666666666666667</v>
      </c>
      <c r="F181" s="28">
        <f>(((SUM(Four_Semester_Algorithm[[#This Row],[Quiz 1]:[Quiz 3]]))/SUM($C$63:$E$63))*$F$63)</f>
        <v>6.2222222222222232</v>
      </c>
      <c r="G181" s="27">
        <f>ROUND(Four_Semester_Algorithm[[#This Row],[Quiz Average]],0)</f>
        <v>6</v>
      </c>
      <c r="H181" s="31">
        <v>5</v>
      </c>
      <c r="I181" s="28">
        <v>21</v>
      </c>
      <c r="J181" s="28">
        <v>22.5</v>
      </c>
      <c r="K181" s="28">
        <f>SUM(Four_Semester_Algorithm[[#This Row],[Assignment]:[Final]])</f>
        <v>43.5</v>
      </c>
      <c r="L181" s="42">
        <f>ROUND(Four_Semester_Algorithm[[#This Row],[Ass &amp; Final]],0)</f>
        <v>44</v>
      </c>
      <c r="M181" s="42">
        <f t="shared" si="19"/>
        <v>55</v>
      </c>
      <c r="N181" s="46" t="str">
        <f t="shared" si="16"/>
        <v>B-</v>
      </c>
      <c r="O181" s="44" t="str">
        <f t="shared" si="17"/>
        <v>2.75</v>
      </c>
      <c r="P181" s="34" t="str">
        <f t="shared" si="18"/>
        <v>Above Average</v>
      </c>
    </row>
    <row r="182" spans="1:20" x14ac:dyDescent="0.25">
      <c r="A182" s="1" t="s">
        <v>26</v>
      </c>
      <c r="B182" s="29" t="s">
        <v>47</v>
      </c>
      <c r="C182" s="28">
        <v>4</v>
      </c>
      <c r="D182" s="28">
        <v>4.333333333333333</v>
      </c>
      <c r="E182" s="28">
        <v>5.333333333333333</v>
      </c>
      <c r="F182" s="28">
        <f>(((SUM(Four_Semester_Algorithm[[#This Row],[Quiz 1]:[Quiz 3]]))/SUM($C$63:$E$63))*$F$63)</f>
        <v>4.5555555555555545</v>
      </c>
      <c r="G182" s="27">
        <f>ROUND(Four_Semester_Algorithm[[#This Row],[Quiz Average]],0)</f>
        <v>5</v>
      </c>
      <c r="H182" s="31">
        <v>7</v>
      </c>
      <c r="I182" s="28">
        <v>20.5</v>
      </c>
      <c r="J182" s="28">
        <v>4.5</v>
      </c>
      <c r="K182" s="28">
        <f>SUM(Four_Semester_Algorithm[[#This Row],[Assignment]:[Final]])</f>
        <v>25</v>
      </c>
      <c r="L182" s="42">
        <f>ROUND(Four_Semester_Algorithm[[#This Row],[Ass &amp; Final]],0)</f>
        <v>25</v>
      </c>
      <c r="M182" s="42">
        <f t="shared" si="19"/>
        <v>37</v>
      </c>
      <c r="N182" s="46" t="str">
        <f t="shared" si="16"/>
        <v>F</v>
      </c>
      <c r="O182" s="44" t="str">
        <f t="shared" si="17"/>
        <v>0.00</v>
      </c>
      <c r="P182" s="34" t="str">
        <f t="shared" si="18"/>
        <v>Fail</v>
      </c>
    </row>
    <row r="183" spans="1:20" x14ac:dyDescent="0.25">
      <c r="A183" s="1" t="s">
        <v>50</v>
      </c>
      <c r="B183" s="29" t="s">
        <v>51</v>
      </c>
      <c r="C183" s="28">
        <v>13.333333333333334</v>
      </c>
      <c r="D183" s="28">
        <v>12</v>
      </c>
      <c r="E183" s="28">
        <v>2.6666666666666665</v>
      </c>
      <c r="F183" s="28">
        <f>(((SUM(Four_Semester_Algorithm[[#This Row],[Quiz 1]:[Quiz 3]]))/SUM($C$63:$E$63))*$F$63)</f>
        <v>9.3333333333333357</v>
      </c>
      <c r="G183" s="27">
        <f>ROUND(Four_Semester_Algorithm[[#This Row],[Quiz Average]],0)</f>
        <v>9</v>
      </c>
      <c r="H183" s="31">
        <v>7</v>
      </c>
      <c r="I183" s="28">
        <v>16.5</v>
      </c>
      <c r="J183" s="28">
        <v>16.5</v>
      </c>
      <c r="K183" s="28">
        <f>SUM(Four_Semester_Algorithm[[#This Row],[Assignment]:[Final]])</f>
        <v>33</v>
      </c>
      <c r="L183" s="42">
        <f>ROUND(Four_Semester_Algorithm[[#This Row],[Ass &amp; Final]],0)</f>
        <v>33</v>
      </c>
      <c r="M183" s="42">
        <f>SUM(G183,H183,L183)</f>
        <v>49</v>
      </c>
      <c r="N183" s="46" t="str">
        <f t="shared" si="16"/>
        <v>C</v>
      </c>
      <c r="O183" s="44" t="str">
        <f t="shared" si="17"/>
        <v>2.25</v>
      </c>
      <c r="P183" s="34" t="str">
        <f t="shared" si="18"/>
        <v>Bellow Average</v>
      </c>
    </row>
    <row r="184" spans="1:20" x14ac:dyDescent="0.25">
      <c r="A184" s="1" t="s">
        <v>53</v>
      </c>
      <c r="B184" s="29" t="s">
        <v>54</v>
      </c>
      <c r="C184" s="28">
        <v>12</v>
      </c>
      <c r="D184" s="28">
        <v>10.666666666666666</v>
      </c>
      <c r="E184" s="28">
        <v>7</v>
      </c>
      <c r="F184" s="28">
        <f>(((SUM(Four_Semester_Algorithm[[#This Row],[Quiz 1]:[Quiz 3]]))/SUM($C$63:$E$63))*$F$63)</f>
        <v>9.8888888888888875</v>
      </c>
      <c r="G184" s="27">
        <f>ROUND(Four_Semester_Algorithm[[#This Row],[Quiz Average]],0)</f>
        <v>10</v>
      </c>
      <c r="H184" s="31">
        <v>7</v>
      </c>
      <c r="I184" s="28">
        <v>22.5</v>
      </c>
      <c r="J184" s="28">
        <v>11.5</v>
      </c>
      <c r="K184" s="28">
        <f>SUM(Four_Semester_Algorithm[[#This Row],[Assignment]:[Final]])</f>
        <v>34</v>
      </c>
      <c r="L184" s="42">
        <f>ROUND(Four_Semester_Algorithm[[#This Row],[Ass &amp; Final]],0)</f>
        <v>34</v>
      </c>
      <c r="M184" s="42">
        <f t="shared" ref="M184:M185" si="20">SUM(G184,H184,L184)</f>
        <v>51</v>
      </c>
      <c r="N184" s="46" t="str">
        <f t="shared" si="16"/>
        <v>C+</v>
      </c>
      <c r="O184" s="44" t="str">
        <f t="shared" si="17"/>
        <v>2.50</v>
      </c>
      <c r="P184" s="34" t="str">
        <f t="shared" si="18"/>
        <v>Average</v>
      </c>
    </row>
    <row r="185" spans="1:20" ht="15.75" thickBot="1" x14ac:dyDescent="0.3">
      <c r="A185" s="35" t="s">
        <v>60</v>
      </c>
      <c r="B185" s="36" t="s">
        <v>61</v>
      </c>
      <c r="C185" s="37">
        <v>5.333333333333333</v>
      </c>
      <c r="D185" s="37">
        <v>11.333333333333334</v>
      </c>
      <c r="E185" s="37">
        <v>6</v>
      </c>
      <c r="F185" s="37">
        <f>(((SUM(Four_Semester_Algorithm[[#This Row],[Quiz 1]:[Quiz 3]]))/SUM($C$63:$E$63))*$F$63)</f>
        <v>7.5555555555555562</v>
      </c>
      <c r="G185" s="38">
        <f>ROUND(Four_Semester_Algorithm[[#This Row],[Quiz Average]],0)</f>
        <v>8</v>
      </c>
      <c r="H185" s="39">
        <v>10</v>
      </c>
      <c r="I185" s="37">
        <v>24.5</v>
      </c>
      <c r="J185" s="37">
        <v>16.5</v>
      </c>
      <c r="K185" s="37">
        <f>SUM(Four_Semester_Algorithm[[#This Row],[Assignment]:[Final]])</f>
        <v>41</v>
      </c>
      <c r="L185" s="43">
        <f>ROUND(Four_Semester_Algorithm[[#This Row],[Ass &amp; Final]],0)</f>
        <v>41</v>
      </c>
      <c r="M185" s="76">
        <f t="shared" si="20"/>
        <v>59</v>
      </c>
      <c r="N185" s="47" t="str">
        <f t="shared" si="16"/>
        <v>B-</v>
      </c>
      <c r="O185" s="45" t="str">
        <f t="shared" si="17"/>
        <v>2.75</v>
      </c>
      <c r="P185" s="41" t="str">
        <f t="shared" si="18"/>
        <v>Above Average</v>
      </c>
    </row>
    <row r="186" spans="1:20" x14ac:dyDescent="0.25">
      <c r="A186" s="68"/>
      <c r="B186" s="68"/>
      <c r="C186" s="30"/>
      <c r="D186" s="30"/>
      <c r="E186" s="30"/>
      <c r="F186" s="30"/>
      <c r="G186" s="69"/>
      <c r="H186" s="71"/>
      <c r="I186" s="71"/>
      <c r="J186" s="71"/>
      <c r="K186" s="69"/>
      <c r="L186" s="69"/>
      <c r="M186" s="30"/>
      <c r="N186" s="30"/>
      <c r="O186" s="30"/>
      <c r="P186" s="70"/>
      <c r="Q186" s="70"/>
      <c r="R186" s="30"/>
      <c r="S186" s="30"/>
      <c r="T186" s="30"/>
    </row>
    <row r="187" spans="1:20" x14ac:dyDescent="0.25">
      <c r="A187" s="68"/>
      <c r="B187" s="68"/>
      <c r="C187" s="30"/>
      <c r="D187" s="30"/>
      <c r="E187" s="30"/>
      <c r="F187" s="30"/>
      <c r="G187" s="69"/>
      <c r="H187" s="71"/>
      <c r="I187" s="71"/>
      <c r="J187" s="71"/>
      <c r="K187" s="69"/>
      <c r="L187" s="69"/>
      <c r="M187" s="30"/>
      <c r="N187" s="30"/>
      <c r="O187" s="30"/>
      <c r="P187" s="70"/>
      <c r="Q187" s="70"/>
      <c r="R187" s="30"/>
      <c r="S187" s="30"/>
      <c r="T187" s="30"/>
    </row>
    <row r="188" spans="1:20" x14ac:dyDescent="0.25">
      <c r="A188" s="68"/>
      <c r="B188" s="68"/>
      <c r="C188" s="30"/>
      <c r="D188" s="30"/>
      <c r="E188" s="30"/>
      <c r="F188" s="30"/>
      <c r="G188" s="69"/>
      <c r="H188" s="71"/>
      <c r="I188" s="71"/>
      <c r="J188" s="71"/>
      <c r="K188" s="69"/>
      <c r="L188" s="69"/>
      <c r="M188" s="30"/>
      <c r="N188" s="30"/>
      <c r="O188" s="30"/>
      <c r="P188" s="70"/>
      <c r="Q188" s="70"/>
      <c r="R188" s="30"/>
      <c r="S188" s="30"/>
      <c r="T188" s="30"/>
    </row>
    <row r="189" spans="1:20" x14ac:dyDescent="0.25">
      <c r="A189" s="68"/>
      <c r="B189" s="68"/>
      <c r="C189" s="30"/>
      <c r="D189" s="30"/>
      <c r="E189" s="30"/>
      <c r="F189" s="30"/>
      <c r="G189" s="69"/>
      <c r="H189" s="71"/>
      <c r="I189" s="71"/>
      <c r="J189" s="71"/>
      <c r="K189" s="69"/>
      <c r="L189" s="69"/>
      <c r="M189" s="30"/>
      <c r="N189" s="30"/>
      <c r="O189" s="30"/>
      <c r="P189" s="70"/>
      <c r="Q189" s="70"/>
      <c r="R189" s="30"/>
      <c r="S189" s="30"/>
      <c r="T189" s="30"/>
    </row>
    <row r="190" spans="1:20" x14ac:dyDescent="0.25">
      <c r="A190" s="68"/>
      <c r="B190" s="68"/>
      <c r="C190" s="30"/>
      <c r="D190" s="30"/>
      <c r="E190" s="30"/>
      <c r="F190" s="30"/>
      <c r="G190" s="69"/>
      <c r="H190" s="71"/>
      <c r="I190" s="71"/>
      <c r="J190" s="71"/>
      <c r="K190" s="69"/>
      <c r="L190" s="69"/>
      <c r="M190" s="30"/>
      <c r="N190" s="30"/>
      <c r="O190" s="30"/>
      <c r="P190" s="70"/>
      <c r="Q190" s="70"/>
      <c r="R190" s="30"/>
      <c r="S190" s="30"/>
      <c r="T190" s="30"/>
    </row>
    <row r="191" spans="1:20" x14ac:dyDescent="0.25">
      <c r="A191" s="68"/>
      <c r="B191" s="68"/>
      <c r="C191" s="30"/>
      <c r="D191" s="30"/>
      <c r="E191" s="30"/>
      <c r="F191" s="30"/>
      <c r="G191" s="69"/>
      <c r="H191" s="71"/>
      <c r="I191" s="71"/>
      <c r="J191" s="71"/>
      <c r="K191" s="69"/>
      <c r="L191" s="69"/>
      <c r="M191" s="30"/>
      <c r="N191" s="30"/>
      <c r="O191" s="30"/>
      <c r="P191" s="70"/>
      <c r="Q191" s="70"/>
      <c r="R191" s="30"/>
      <c r="S191" s="30"/>
      <c r="T191" s="30"/>
    </row>
    <row r="201" spans="1:18" ht="27" customHeight="1" x14ac:dyDescent="0.25">
      <c r="A201" s="293" t="s">
        <v>163</v>
      </c>
      <c r="B201" s="293"/>
      <c r="C201" s="56" t="s">
        <v>165</v>
      </c>
      <c r="D201" s="56"/>
      <c r="E201" s="56"/>
      <c r="F201" s="294" t="s">
        <v>359</v>
      </c>
      <c r="G201" s="294"/>
      <c r="H201" s="294"/>
      <c r="I201" s="294"/>
      <c r="J201" s="294"/>
      <c r="K201" s="294"/>
      <c r="L201" s="294"/>
      <c r="M201" s="64" t="s">
        <v>167</v>
      </c>
      <c r="N201" s="65">
        <v>44652</v>
      </c>
      <c r="Q201" s="56"/>
      <c r="R201" s="56"/>
    </row>
    <row r="202" spans="1:18" ht="27" customHeight="1" thickBot="1" x14ac:dyDescent="0.3">
      <c r="A202" s="296" t="s">
        <v>164</v>
      </c>
      <c r="B202" s="296"/>
      <c r="C202" s="63" t="s">
        <v>166</v>
      </c>
      <c r="D202" s="63"/>
      <c r="E202" s="62"/>
      <c r="F202" s="295"/>
      <c r="G202" s="295"/>
      <c r="H202" s="295"/>
      <c r="I202" s="295"/>
      <c r="J202" s="295"/>
      <c r="K202" s="295"/>
      <c r="L202" s="295"/>
      <c r="M202" s="72" t="s">
        <v>168</v>
      </c>
      <c r="N202" s="73">
        <v>0.91666666666666663</v>
      </c>
      <c r="Q202" s="9"/>
      <c r="R202" s="9"/>
    </row>
    <row r="203" spans="1:18" x14ac:dyDescent="0.25">
      <c r="A203" s="58" t="s">
        <v>0</v>
      </c>
      <c r="B203" s="57" t="s">
        <v>20</v>
      </c>
      <c r="C203" s="227" t="s">
        <v>340</v>
      </c>
      <c r="D203" s="93" t="s">
        <v>139</v>
      </c>
      <c r="E203" s="93" t="s">
        <v>137</v>
      </c>
      <c r="F203" s="93" t="s">
        <v>144</v>
      </c>
      <c r="G203" s="93" t="s">
        <v>169</v>
      </c>
      <c r="H203" s="60" t="s">
        <v>170</v>
      </c>
      <c r="I203" s="75" t="s">
        <v>147</v>
      </c>
      <c r="J203" s="48" t="s">
        <v>148</v>
      </c>
      <c r="K203" s="75" t="s">
        <v>149</v>
      </c>
      <c r="L203" s="77" t="s">
        <v>150</v>
      </c>
      <c r="M203" s="9"/>
      <c r="N203" s="9"/>
      <c r="O203" s="9"/>
      <c r="P203" s="9"/>
    </row>
    <row r="204" spans="1:18" x14ac:dyDescent="0.25">
      <c r="A204" s="15"/>
      <c r="B204" s="49" t="s">
        <v>142</v>
      </c>
      <c r="C204" s="52">
        <v>25</v>
      </c>
      <c r="D204" s="50">
        <v>10</v>
      </c>
      <c r="E204" s="50">
        <v>25</v>
      </c>
      <c r="F204" s="50">
        <v>40</v>
      </c>
      <c r="G204" s="53">
        <v>65</v>
      </c>
      <c r="H204" s="54">
        <v>65</v>
      </c>
      <c r="I204" s="55">
        <v>100</v>
      </c>
      <c r="J204" s="55" t="s">
        <v>151</v>
      </c>
      <c r="K204" s="54" t="s">
        <v>152</v>
      </c>
      <c r="L204" s="78" t="s">
        <v>153</v>
      </c>
    </row>
    <row r="205" spans="1:18" x14ac:dyDescent="0.25">
      <c r="A205" s="1" t="s">
        <v>57</v>
      </c>
      <c r="B205" s="29" t="s">
        <v>58</v>
      </c>
      <c r="C205" s="34">
        <v>14.5</v>
      </c>
      <c r="D205" s="31">
        <v>5</v>
      </c>
      <c r="E205" s="28">
        <v>6.5</v>
      </c>
      <c r="F205" s="28">
        <v>21</v>
      </c>
      <c r="G205" s="28">
        <f>SUM(Four_Semester_Algorithm_Lab[[#This Row],[Assignment]:[Final]])</f>
        <v>27.5</v>
      </c>
      <c r="H205" s="42">
        <f>ROUND(Four_Semester_Algorithm_Lab[[#This Row],[Ass &amp; Final]],0)</f>
        <v>28</v>
      </c>
      <c r="I205" s="42">
        <f>SUM(C205,D205,H205)</f>
        <v>47.5</v>
      </c>
      <c r="J205" s="46" t="str">
        <f>IF(I205&gt;79,"A+",IF(I205&gt;74,"A",IF(I205&gt;69,"A-",IF(I205&gt;64,"B+",IF(I205&gt;59,"B",IF(I205&gt;54,"B-",IF(I205&gt;49,"C+",IF(I205&gt;44,"C",IF(I205&gt;39,"D",IF(I205&gt;0,"F","N/A"))))))))))</f>
        <v>C</v>
      </c>
      <c r="K205" s="44" t="str">
        <f>IF(I205&gt;79,"4.00",IF(I205&gt;74,"3.75",IF(I205&gt;69,"3.50",IF(I205&gt;64,"3.25",IF(I205&gt;59,"3.00",IF(I205&gt;54,"2.75",IF(I205&gt;49,"2.50",IF(I205&gt;44,"2.25",IF(I205&gt;39,"2.00",IF(I205&gt;0,"0.00","N/A"))))))))))</f>
        <v>2.25</v>
      </c>
      <c r="L205" s="79" t="str">
        <f>IF(I205&gt;79,"Outstanding",IF(I205&gt;74,"Excellent",IF(I205&gt;69,"Very Good",IF(I205&gt;64,"Good",IF(I205&gt;59,"Satisfactory",IF(I205&gt;54,"Above Average",IF(I205&gt;49,"Average",IF(I205&gt;44,"Bellow Average",IF(I205&gt;39,"Pass",IF(I205&gt;0,"Fail","N/A"))))))))))</f>
        <v>Bellow Average</v>
      </c>
    </row>
    <row r="206" spans="1:18" x14ac:dyDescent="0.25">
      <c r="A206" s="1" t="s">
        <v>56</v>
      </c>
      <c r="B206" s="29" t="s">
        <v>59</v>
      </c>
      <c r="C206" s="34">
        <v>16</v>
      </c>
      <c r="D206" s="31">
        <v>5</v>
      </c>
      <c r="E206" s="28">
        <v>8.5</v>
      </c>
      <c r="F206" s="28">
        <v>33.5</v>
      </c>
      <c r="G206" s="28">
        <f>SUM(Four_Semester_Algorithm_Lab[[#This Row],[Assignment]:[Final]])</f>
        <v>42</v>
      </c>
      <c r="H206" s="42">
        <f>ROUND(Four_Semester_Algorithm_Lab[[#This Row],[Ass &amp; Final]],0)</f>
        <v>42</v>
      </c>
      <c r="I206" s="42">
        <f t="shared" ref="I206:I210" si="21">SUM(C206,D206,H206)</f>
        <v>63</v>
      </c>
      <c r="J206" s="46" t="str">
        <f t="shared" ref="J206:J232" si="22">IF(I206&gt;79,"A+",IF(I206&gt;74,"A",IF(I206&gt;69,"A-",IF(I206&gt;64,"B+",IF(I206&gt;59,"B",IF(I206&gt;54,"B-",IF(I206&gt;49,"C+",IF(I206&gt;44,"C",IF(I206&gt;39,"D",IF(I206&gt;0,"F","N/A"))))))))))</f>
        <v>B</v>
      </c>
      <c r="K206" s="44" t="str">
        <f t="shared" ref="K206:K232" si="23">IF(I206&gt;79,"4.00",IF(I206&gt;74,"3.75",IF(I206&gt;69,"3.50",IF(I206&gt;64,"3.25",IF(I206&gt;59,"3.00",IF(I206&gt;54,"2.75",IF(I206&gt;49,"2.50",IF(I206&gt;44,"2.25",IF(I206&gt;39,"2.00",IF(I206&gt;0,"0.00","N/A"))))))))))</f>
        <v>3.00</v>
      </c>
      <c r="L206" s="79" t="str">
        <f t="shared" ref="L206:L232" si="24">IF(I206&gt;79,"Outstanding",IF(I206&gt;74,"Excellent",IF(I206&gt;69,"Very Good",IF(I206&gt;64,"Good",IF(I206&gt;59,"Satisfactory",IF(I206&gt;54,"Above Average",IF(I206&gt;49,"Average",IF(I206&gt;44,"Bellow Average",IF(I206&gt;39,"Pass",IF(I206&gt;0,"Fail","N/A"))))))))))</f>
        <v>Satisfactory</v>
      </c>
    </row>
    <row r="207" spans="1:18" x14ac:dyDescent="0.25">
      <c r="A207" s="1" t="s">
        <v>1</v>
      </c>
      <c r="B207" s="29" t="s">
        <v>27</v>
      </c>
      <c r="C207" s="34">
        <v>23</v>
      </c>
      <c r="D207" s="31">
        <v>8</v>
      </c>
      <c r="E207" s="28">
        <v>8</v>
      </c>
      <c r="F207" s="28">
        <v>1.5</v>
      </c>
      <c r="G207" s="28">
        <f>SUM(Four_Semester_Algorithm_Lab[[#This Row],[Assignment]:[Final]])</f>
        <v>9.5</v>
      </c>
      <c r="H207" s="42">
        <f>ROUND(Four_Semester_Algorithm_Lab[[#This Row],[Ass &amp; Final]],0)</f>
        <v>10</v>
      </c>
      <c r="I207" s="42">
        <f t="shared" si="21"/>
        <v>41</v>
      </c>
      <c r="J207" s="46" t="str">
        <f t="shared" si="22"/>
        <v>D</v>
      </c>
      <c r="K207" s="44" t="str">
        <f t="shared" si="23"/>
        <v>2.00</v>
      </c>
      <c r="L207" s="34" t="str">
        <f t="shared" si="24"/>
        <v>Pass</v>
      </c>
    </row>
    <row r="208" spans="1:18" x14ac:dyDescent="0.25">
      <c r="A208" s="1" t="s">
        <v>2</v>
      </c>
      <c r="B208" s="29" t="s">
        <v>28</v>
      </c>
      <c r="C208" s="34">
        <v>1.5</v>
      </c>
      <c r="D208" s="31">
        <v>3</v>
      </c>
      <c r="E208" s="28">
        <v>19.5</v>
      </c>
      <c r="F208" s="28">
        <v>7</v>
      </c>
      <c r="G208" s="28">
        <f>SUM(Four_Semester_Algorithm_Lab[[#This Row],[Assignment]:[Final]])</f>
        <v>26.5</v>
      </c>
      <c r="H208" s="42">
        <f>ROUND(Four_Semester_Algorithm_Lab[[#This Row],[Ass &amp; Final]],0)</f>
        <v>27</v>
      </c>
      <c r="I208" s="42">
        <f t="shared" si="21"/>
        <v>31.5</v>
      </c>
      <c r="J208" s="46" t="str">
        <f t="shared" si="22"/>
        <v>F</v>
      </c>
      <c r="K208" s="44" t="str">
        <f t="shared" si="23"/>
        <v>0.00</v>
      </c>
      <c r="L208" s="34" t="str">
        <f t="shared" si="24"/>
        <v>Fail</v>
      </c>
    </row>
    <row r="209" spans="1:12" x14ac:dyDescent="0.25">
      <c r="A209" s="1" t="s">
        <v>3</v>
      </c>
      <c r="B209" s="29" t="s">
        <v>29</v>
      </c>
      <c r="C209" s="34">
        <v>7</v>
      </c>
      <c r="D209" s="31">
        <v>10</v>
      </c>
      <c r="E209" s="28">
        <v>16</v>
      </c>
      <c r="F209" s="28">
        <v>29</v>
      </c>
      <c r="G209" s="28">
        <f>SUM(Four_Semester_Algorithm_Lab[[#This Row],[Assignment]:[Final]])</f>
        <v>45</v>
      </c>
      <c r="H209" s="42">
        <f>ROUND(Four_Semester_Algorithm_Lab[[#This Row],[Ass &amp; Final]],0)</f>
        <v>45</v>
      </c>
      <c r="I209" s="42">
        <f t="shared" si="21"/>
        <v>62</v>
      </c>
      <c r="J209" s="46" t="str">
        <f t="shared" si="22"/>
        <v>B</v>
      </c>
      <c r="K209" s="44" t="str">
        <f t="shared" si="23"/>
        <v>3.00</v>
      </c>
      <c r="L209" s="34" t="str">
        <f t="shared" si="24"/>
        <v>Satisfactory</v>
      </c>
    </row>
    <row r="210" spans="1:12" x14ac:dyDescent="0.25">
      <c r="A210" s="1" t="s">
        <v>4</v>
      </c>
      <c r="B210" s="29" t="s">
        <v>30</v>
      </c>
      <c r="C210" s="34">
        <v>2.5</v>
      </c>
      <c r="D210" s="31">
        <v>3</v>
      </c>
      <c r="E210" s="28">
        <v>18</v>
      </c>
      <c r="F210" s="28">
        <v>9</v>
      </c>
      <c r="G210" s="28">
        <f>SUM(Four_Semester_Algorithm_Lab[[#This Row],[Assignment]:[Final]])</f>
        <v>27</v>
      </c>
      <c r="H210" s="42">
        <f>ROUND(Four_Semester_Algorithm_Lab[[#This Row],[Ass &amp; Final]],0)</f>
        <v>27</v>
      </c>
      <c r="I210" s="42">
        <f t="shared" si="21"/>
        <v>32.5</v>
      </c>
      <c r="J210" s="46" t="str">
        <f t="shared" si="22"/>
        <v>F</v>
      </c>
      <c r="K210" s="44" t="str">
        <f t="shared" si="23"/>
        <v>0.00</v>
      </c>
      <c r="L210" s="34" t="str">
        <f t="shared" si="24"/>
        <v>Fail</v>
      </c>
    </row>
    <row r="211" spans="1:12" x14ac:dyDescent="0.25">
      <c r="A211" s="6" t="s">
        <v>5</v>
      </c>
      <c r="B211" s="225" t="s">
        <v>31</v>
      </c>
      <c r="C211" s="219"/>
      <c r="D211" s="220"/>
      <c r="E211" s="221"/>
      <c r="F211" s="221"/>
      <c r="G211" s="221"/>
      <c r="H211" s="222"/>
      <c r="I211" s="222"/>
      <c r="J211" s="223"/>
      <c r="K211" s="224"/>
      <c r="L211" s="219"/>
    </row>
    <row r="212" spans="1:12" x14ac:dyDescent="0.25">
      <c r="A212" s="1" t="s">
        <v>6</v>
      </c>
      <c r="B212" s="29" t="s">
        <v>32</v>
      </c>
      <c r="C212" s="34">
        <v>8.5</v>
      </c>
      <c r="D212" s="31">
        <v>4</v>
      </c>
      <c r="E212" s="28">
        <v>16</v>
      </c>
      <c r="F212" s="28">
        <v>23.5</v>
      </c>
      <c r="G212" s="28">
        <f>SUM(Four_Semester_Algorithm_Lab[[#This Row],[Assignment]:[Final]])</f>
        <v>39.5</v>
      </c>
      <c r="H212" s="42">
        <f>ROUND(Four_Semester_Algorithm_Lab[[#This Row],[Ass &amp; Final]],0)</f>
        <v>40</v>
      </c>
      <c r="I212" s="42">
        <f t="shared" ref="I212:I229" si="25">SUM(C212,D212,H212)</f>
        <v>52.5</v>
      </c>
      <c r="J212" s="46" t="str">
        <f t="shared" si="22"/>
        <v>C+</v>
      </c>
      <c r="K212" s="44" t="str">
        <f t="shared" si="23"/>
        <v>2.50</v>
      </c>
      <c r="L212" s="34" t="str">
        <f t="shared" si="24"/>
        <v>Average</v>
      </c>
    </row>
    <row r="213" spans="1:12" x14ac:dyDescent="0.25">
      <c r="A213" s="1" t="s">
        <v>7</v>
      </c>
      <c r="B213" s="29" t="s">
        <v>33</v>
      </c>
      <c r="C213" s="34">
        <v>22.5</v>
      </c>
      <c r="D213" s="31">
        <v>6</v>
      </c>
      <c r="E213" s="28">
        <v>23.5</v>
      </c>
      <c r="F213" s="28">
        <v>7</v>
      </c>
      <c r="G213" s="28">
        <f>SUM(Four_Semester_Algorithm_Lab[[#This Row],[Assignment]:[Final]])</f>
        <v>30.5</v>
      </c>
      <c r="H213" s="42">
        <f>ROUND(Four_Semester_Algorithm_Lab[[#This Row],[Ass &amp; Final]],0)</f>
        <v>31</v>
      </c>
      <c r="I213" s="42">
        <f>SUM(C213,D213,H213)</f>
        <v>59.5</v>
      </c>
      <c r="J213" s="46" t="str">
        <f t="shared" si="22"/>
        <v>B</v>
      </c>
      <c r="K213" s="44" t="str">
        <f t="shared" si="23"/>
        <v>3.00</v>
      </c>
      <c r="L213" s="34" t="str">
        <f t="shared" si="24"/>
        <v>Satisfactory</v>
      </c>
    </row>
    <row r="214" spans="1:12" x14ac:dyDescent="0.25">
      <c r="A214" s="1" t="s">
        <v>8</v>
      </c>
      <c r="B214" s="29" t="s">
        <v>34</v>
      </c>
      <c r="C214" s="34">
        <v>8.5</v>
      </c>
      <c r="D214" s="31">
        <v>5</v>
      </c>
      <c r="E214" s="28">
        <v>7.5</v>
      </c>
      <c r="F214" s="28">
        <v>15</v>
      </c>
      <c r="G214" s="28">
        <f>SUM(Four_Semester_Algorithm_Lab[[#This Row],[Assignment]:[Final]])</f>
        <v>22.5</v>
      </c>
      <c r="H214" s="42">
        <f>ROUND(Four_Semester_Algorithm_Lab[[#This Row],[Ass &amp; Final]],0)</f>
        <v>23</v>
      </c>
      <c r="I214" s="42">
        <f t="shared" si="25"/>
        <v>36.5</v>
      </c>
      <c r="J214" s="46" t="str">
        <f t="shared" si="22"/>
        <v>F</v>
      </c>
      <c r="K214" s="44" t="str">
        <f t="shared" si="23"/>
        <v>0.00</v>
      </c>
      <c r="L214" s="34" t="str">
        <f t="shared" si="24"/>
        <v>Fail</v>
      </c>
    </row>
    <row r="215" spans="1:12" x14ac:dyDescent="0.25">
      <c r="A215" s="1" t="s">
        <v>9</v>
      </c>
      <c r="B215" s="29" t="s">
        <v>35</v>
      </c>
      <c r="C215" s="34">
        <v>24</v>
      </c>
      <c r="D215" s="31">
        <v>3</v>
      </c>
      <c r="E215" s="28">
        <v>15</v>
      </c>
      <c r="F215" s="28">
        <v>2.5</v>
      </c>
      <c r="G215" s="28">
        <f>SUM(Four_Semester_Algorithm_Lab[[#This Row],[Assignment]:[Final]])</f>
        <v>17.5</v>
      </c>
      <c r="H215" s="42">
        <f>ROUND(Four_Semester_Algorithm_Lab[[#This Row],[Ass &amp; Final]],0)</f>
        <v>18</v>
      </c>
      <c r="I215" s="42">
        <f t="shared" si="25"/>
        <v>45</v>
      </c>
      <c r="J215" s="46" t="str">
        <f t="shared" si="22"/>
        <v>C</v>
      </c>
      <c r="K215" s="44" t="str">
        <f t="shared" si="23"/>
        <v>2.25</v>
      </c>
      <c r="L215" s="34" t="str">
        <f t="shared" si="24"/>
        <v>Bellow Average</v>
      </c>
    </row>
    <row r="216" spans="1:12" x14ac:dyDescent="0.25">
      <c r="A216" s="1" t="s">
        <v>10</v>
      </c>
      <c r="B216" s="29" t="s">
        <v>36</v>
      </c>
      <c r="C216" s="34">
        <v>10</v>
      </c>
      <c r="D216" s="31">
        <v>6</v>
      </c>
      <c r="E216" s="28">
        <v>5.5</v>
      </c>
      <c r="F216" s="28">
        <v>24.5</v>
      </c>
      <c r="G216" s="28">
        <f>SUM(Four_Semester_Algorithm_Lab[[#This Row],[Assignment]:[Final]])</f>
        <v>30</v>
      </c>
      <c r="H216" s="42">
        <f>ROUND(Four_Semester_Algorithm_Lab[[#This Row],[Ass &amp; Final]],0)</f>
        <v>30</v>
      </c>
      <c r="I216" s="42">
        <f t="shared" si="25"/>
        <v>46</v>
      </c>
      <c r="J216" s="46" t="str">
        <f t="shared" si="22"/>
        <v>C</v>
      </c>
      <c r="K216" s="44" t="str">
        <f t="shared" si="23"/>
        <v>2.25</v>
      </c>
      <c r="L216" s="34" t="str">
        <f t="shared" si="24"/>
        <v>Bellow Average</v>
      </c>
    </row>
    <row r="217" spans="1:12" x14ac:dyDescent="0.25">
      <c r="A217" s="6" t="s">
        <v>11</v>
      </c>
      <c r="B217" s="225" t="s">
        <v>31</v>
      </c>
      <c r="C217" s="219"/>
      <c r="D217" s="220"/>
      <c r="E217" s="221"/>
      <c r="F217" s="221"/>
      <c r="G217" s="221"/>
      <c r="H217" s="222"/>
      <c r="I217" s="222"/>
      <c r="J217" s="223"/>
      <c r="K217" s="224"/>
      <c r="L217" s="219"/>
    </row>
    <row r="218" spans="1:12" x14ac:dyDescent="0.25">
      <c r="A218" s="1" t="s">
        <v>12</v>
      </c>
      <c r="B218" s="29" t="s">
        <v>37</v>
      </c>
      <c r="C218" s="34">
        <v>8</v>
      </c>
      <c r="D218" s="31">
        <v>5</v>
      </c>
      <c r="E218" s="28">
        <v>9.5</v>
      </c>
      <c r="F218" s="28">
        <v>15</v>
      </c>
      <c r="G218" s="28">
        <f>SUM(Four_Semester_Algorithm_Lab[[#This Row],[Assignment]:[Final]])</f>
        <v>24.5</v>
      </c>
      <c r="H218" s="42">
        <f>ROUND(Four_Semester_Algorithm_Lab[[#This Row],[Ass &amp; Final]],0)</f>
        <v>25</v>
      </c>
      <c r="I218" s="42">
        <f t="shared" si="25"/>
        <v>38</v>
      </c>
      <c r="J218" s="46" t="str">
        <f t="shared" si="22"/>
        <v>F</v>
      </c>
      <c r="K218" s="44" t="str">
        <f t="shared" si="23"/>
        <v>0.00</v>
      </c>
      <c r="L218" s="34" t="str">
        <f t="shared" si="24"/>
        <v>Fail</v>
      </c>
    </row>
    <row r="219" spans="1:12" x14ac:dyDescent="0.25">
      <c r="A219" s="1" t="s">
        <v>13</v>
      </c>
      <c r="B219" s="29" t="s">
        <v>38</v>
      </c>
      <c r="C219" s="34">
        <v>15.5</v>
      </c>
      <c r="D219" s="31">
        <v>6</v>
      </c>
      <c r="E219" s="28">
        <v>20</v>
      </c>
      <c r="F219" s="28">
        <v>7.5</v>
      </c>
      <c r="G219" s="28">
        <f>SUM(Four_Semester_Algorithm_Lab[[#This Row],[Assignment]:[Final]])</f>
        <v>27.5</v>
      </c>
      <c r="H219" s="42">
        <f>ROUND(Four_Semester_Algorithm_Lab[[#This Row],[Ass &amp; Final]],0)</f>
        <v>28</v>
      </c>
      <c r="I219" s="42">
        <f t="shared" si="25"/>
        <v>49.5</v>
      </c>
      <c r="J219" s="46" t="str">
        <f t="shared" si="22"/>
        <v>C+</v>
      </c>
      <c r="K219" s="44" t="str">
        <f t="shared" si="23"/>
        <v>2.50</v>
      </c>
      <c r="L219" s="34" t="str">
        <f t="shared" si="24"/>
        <v>Average</v>
      </c>
    </row>
    <row r="220" spans="1:12" x14ac:dyDescent="0.25">
      <c r="A220" s="1" t="s">
        <v>14</v>
      </c>
      <c r="B220" s="29" t="s">
        <v>39</v>
      </c>
      <c r="C220" s="34">
        <v>2</v>
      </c>
      <c r="D220" s="31">
        <v>10</v>
      </c>
      <c r="E220" s="28">
        <v>24.5</v>
      </c>
      <c r="F220" s="28">
        <v>24</v>
      </c>
      <c r="G220" s="28">
        <f>SUM(Four_Semester_Algorithm_Lab[[#This Row],[Assignment]:[Final]])</f>
        <v>48.5</v>
      </c>
      <c r="H220" s="42">
        <f>ROUND(Four_Semester_Algorithm_Lab[[#This Row],[Ass &amp; Final]],0)</f>
        <v>49</v>
      </c>
      <c r="I220" s="42">
        <f t="shared" si="25"/>
        <v>61</v>
      </c>
      <c r="J220" s="46" t="str">
        <f t="shared" si="22"/>
        <v>B</v>
      </c>
      <c r="K220" s="44" t="str">
        <f t="shared" si="23"/>
        <v>3.00</v>
      </c>
      <c r="L220" s="34" t="str">
        <f t="shared" si="24"/>
        <v>Satisfactory</v>
      </c>
    </row>
    <row r="221" spans="1:12" x14ac:dyDescent="0.25">
      <c r="A221" s="1" t="s">
        <v>15</v>
      </c>
      <c r="B221" s="29" t="s">
        <v>40</v>
      </c>
      <c r="C221" s="34">
        <v>8.5</v>
      </c>
      <c r="D221" s="31">
        <v>2</v>
      </c>
      <c r="E221" s="28">
        <v>6</v>
      </c>
      <c r="F221" s="28">
        <v>8.5</v>
      </c>
      <c r="G221" s="28">
        <f>SUM(Four_Semester_Algorithm_Lab[[#This Row],[Assignment]:[Final]])</f>
        <v>14.5</v>
      </c>
      <c r="H221" s="42">
        <f>ROUND(Four_Semester_Algorithm_Lab[[#This Row],[Ass &amp; Final]],0)</f>
        <v>15</v>
      </c>
      <c r="I221" s="42">
        <f t="shared" si="25"/>
        <v>25.5</v>
      </c>
      <c r="J221" s="46" t="str">
        <f t="shared" si="22"/>
        <v>F</v>
      </c>
      <c r="K221" s="44" t="str">
        <f t="shared" si="23"/>
        <v>0.00</v>
      </c>
      <c r="L221" s="34" t="str">
        <f t="shared" si="24"/>
        <v>Fail</v>
      </c>
    </row>
    <row r="222" spans="1:12" x14ac:dyDescent="0.25">
      <c r="A222" s="6" t="s">
        <v>16</v>
      </c>
      <c r="B222" s="225" t="s">
        <v>31</v>
      </c>
      <c r="C222" s="219"/>
      <c r="D222" s="220"/>
      <c r="E222" s="221"/>
      <c r="F222" s="221"/>
      <c r="G222" s="221"/>
      <c r="H222" s="222"/>
      <c r="I222" s="222"/>
      <c r="J222" s="223"/>
      <c r="K222" s="224"/>
      <c r="L222" s="219"/>
    </row>
    <row r="223" spans="1:12" x14ac:dyDescent="0.25">
      <c r="A223" s="1" t="s">
        <v>17</v>
      </c>
      <c r="B223" s="29" t="s">
        <v>41</v>
      </c>
      <c r="C223" s="34">
        <v>14.5</v>
      </c>
      <c r="D223" s="31">
        <v>7</v>
      </c>
      <c r="E223" s="28">
        <v>6</v>
      </c>
      <c r="F223" s="28">
        <v>8</v>
      </c>
      <c r="G223" s="28">
        <f>SUM(Four_Semester_Algorithm_Lab[[#This Row],[Assignment]:[Final]])</f>
        <v>14</v>
      </c>
      <c r="H223" s="42">
        <f>ROUND(Four_Semester_Algorithm_Lab[[#This Row],[Ass &amp; Final]],0)</f>
        <v>14</v>
      </c>
      <c r="I223" s="42">
        <f t="shared" si="25"/>
        <v>35.5</v>
      </c>
      <c r="J223" s="46" t="str">
        <f t="shared" si="22"/>
        <v>F</v>
      </c>
      <c r="K223" s="44" t="str">
        <f t="shared" si="23"/>
        <v>0.00</v>
      </c>
      <c r="L223" s="34" t="str">
        <f t="shared" si="24"/>
        <v>Fail</v>
      </c>
    </row>
    <row r="224" spans="1:12" x14ac:dyDescent="0.25">
      <c r="A224" s="1" t="s">
        <v>18</v>
      </c>
      <c r="B224" s="29" t="s">
        <v>42</v>
      </c>
      <c r="C224" s="34">
        <v>11.5</v>
      </c>
      <c r="D224" s="31">
        <v>5</v>
      </c>
      <c r="E224" s="28">
        <v>12</v>
      </c>
      <c r="F224" s="28">
        <v>6</v>
      </c>
      <c r="G224" s="28">
        <f>SUM(Four_Semester_Algorithm_Lab[[#This Row],[Assignment]:[Final]])</f>
        <v>18</v>
      </c>
      <c r="H224" s="42">
        <f>ROUND(Four_Semester_Algorithm_Lab[[#This Row],[Ass &amp; Final]],0)</f>
        <v>18</v>
      </c>
      <c r="I224" s="42">
        <f t="shared" si="25"/>
        <v>34.5</v>
      </c>
      <c r="J224" s="46" t="str">
        <f t="shared" si="22"/>
        <v>F</v>
      </c>
      <c r="K224" s="44" t="str">
        <f t="shared" si="23"/>
        <v>0.00</v>
      </c>
      <c r="L224" s="34" t="str">
        <f t="shared" si="24"/>
        <v>Fail</v>
      </c>
    </row>
    <row r="225" spans="1:20" x14ac:dyDescent="0.25">
      <c r="A225" s="1" t="s">
        <v>19</v>
      </c>
      <c r="B225" s="29" t="s">
        <v>43</v>
      </c>
      <c r="C225" s="34">
        <v>22.5</v>
      </c>
      <c r="D225" s="31">
        <v>6</v>
      </c>
      <c r="E225" s="28">
        <v>18.5</v>
      </c>
      <c r="F225" s="28">
        <v>23</v>
      </c>
      <c r="G225" s="28">
        <f>SUM(Four_Semester_Algorithm_Lab[[#This Row],[Assignment]:[Final]])</f>
        <v>41.5</v>
      </c>
      <c r="H225" s="42">
        <f>ROUND(Four_Semester_Algorithm_Lab[[#This Row],[Ass &amp; Final]],0)</f>
        <v>42</v>
      </c>
      <c r="I225" s="42">
        <f t="shared" si="25"/>
        <v>70.5</v>
      </c>
      <c r="J225" s="46" t="str">
        <f t="shared" si="22"/>
        <v>A-</v>
      </c>
      <c r="K225" s="44" t="str">
        <f t="shared" si="23"/>
        <v>3.50</v>
      </c>
      <c r="L225" s="34" t="str">
        <f t="shared" si="24"/>
        <v>Very Good</v>
      </c>
    </row>
    <row r="226" spans="1:20" x14ac:dyDescent="0.25">
      <c r="A226" s="1" t="s">
        <v>23</v>
      </c>
      <c r="B226" s="29" t="s">
        <v>44</v>
      </c>
      <c r="C226" s="34">
        <v>14.5</v>
      </c>
      <c r="D226" s="31">
        <v>9</v>
      </c>
      <c r="E226" s="28">
        <v>6</v>
      </c>
      <c r="F226" s="28">
        <v>29</v>
      </c>
      <c r="G226" s="28">
        <f>SUM(Four_Semester_Algorithm_Lab[[#This Row],[Assignment]:[Final]])</f>
        <v>35</v>
      </c>
      <c r="H226" s="42">
        <f>ROUND(Four_Semester_Algorithm_Lab[[#This Row],[Ass &amp; Final]],0)</f>
        <v>35</v>
      </c>
      <c r="I226" s="42">
        <f t="shared" si="25"/>
        <v>58.5</v>
      </c>
      <c r="J226" s="46" t="str">
        <f t="shared" si="22"/>
        <v>B-</v>
      </c>
      <c r="K226" s="44" t="str">
        <f t="shared" si="23"/>
        <v>2.75</v>
      </c>
      <c r="L226" s="34" t="str">
        <f t="shared" si="24"/>
        <v>Above Average</v>
      </c>
    </row>
    <row r="227" spans="1:20" x14ac:dyDescent="0.25">
      <c r="A227" s="1" t="s">
        <v>24</v>
      </c>
      <c r="B227" s="29" t="s">
        <v>45</v>
      </c>
      <c r="C227" s="34">
        <v>12.5</v>
      </c>
      <c r="D227" s="31">
        <v>3</v>
      </c>
      <c r="E227" s="28">
        <v>2.5</v>
      </c>
      <c r="F227" s="28">
        <v>31.5</v>
      </c>
      <c r="G227" s="28">
        <f>SUM(Four_Semester_Algorithm_Lab[[#This Row],[Assignment]:[Final]])</f>
        <v>34</v>
      </c>
      <c r="H227" s="42">
        <f>ROUND(Four_Semester_Algorithm_Lab[[#This Row],[Ass &amp; Final]],0)</f>
        <v>34</v>
      </c>
      <c r="I227" s="42">
        <f t="shared" si="25"/>
        <v>49.5</v>
      </c>
      <c r="J227" s="46" t="str">
        <f t="shared" si="22"/>
        <v>C+</v>
      </c>
      <c r="K227" s="44" t="str">
        <f t="shared" si="23"/>
        <v>2.50</v>
      </c>
      <c r="L227" s="34" t="str">
        <f t="shared" si="24"/>
        <v>Average</v>
      </c>
    </row>
    <row r="228" spans="1:20" x14ac:dyDescent="0.25">
      <c r="A228" s="1" t="s">
        <v>25</v>
      </c>
      <c r="B228" s="29" t="s">
        <v>46</v>
      </c>
      <c r="C228" s="34">
        <v>15.5</v>
      </c>
      <c r="D228" s="31">
        <v>4</v>
      </c>
      <c r="E228" s="28">
        <v>11.5</v>
      </c>
      <c r="F228" s="28">
        <v>12.5</v>
      </c>
      <c r="G228" s="28">
        <f>SUM(Four_Semester_Algorithm_Lab[[#This Row],[Assignment]:[Final]])</f>
        <v>24</v>
      </c>
      <c r="H228" s="42">
        <f>ROUND(Four_Semester_Algorithm_Lab[[#This Row],[Ass &amp; Final]],0)</f>
        <v>24</v>
      </c>
      <c r="I228" s="42">
        <f t="shared" si="25"/>
        <v>43.5</v>
      </c>
      <c r="J228" s="46" t="str">
        <f t="shared" si="22"/>
        <v>D</v>
      </c>
      <c r="K228" s="44" t="str">
        <f t="shared" si="23"/>
        <v>2.00</v>
      </c>
      <c r="L228" s="34" t="str">
        <f t="shared" si="24"/>
        <v>Pass</v>
      </c>
    </row>
    <row r="229" spans="1:20" x14ac:dyDescent="0.25">
      <c r="A229" s="1" t="s">
        <v>26</v>
      </c>
      <c r="B229" s="29" t="s">
        <v>47</v>
      </c>
      <c r="C229" s="34">
        <v>20</v>
      </c>
      <c r="D229" s="31">
        <v>8</v>
      </c>
      <c r="E229" s="28">
        <v>3</v>
      </c>
      <c r="F229" s="28">
        <v>4.5</v>
      </c>
      <c r="G229" s="28">
        <f>SUM(Four_Semester_Algorithm_Lab[[#This Row],[Assignment]:[Final]])</f>
        <v>7.5</v>
      </c>
      <c r="H229" s="42">
        <f>ROUND(Four_Semester_Algorithm_Lab[[#This Row],[Ass &amp; Final]],0)</f>
        <v>8</v>
      </c>
      <c r="I229" s="42">
        <f t="shared" si="25"/>
        <v>36</v>
      </c>
      <c r="J229" s="46" t="str">
        <f t="shared" si="22"/>
        <v>F</v>
      </c>
      <c r="K229" s="44" t="str">
        <f t="shared" si="23"/>
        <v>0.00</v>
      </c>
      <c r="L229" s="34" t="str">
        <f t="shared" si="24"/>
        <v>Fail</v>
      </c>
    </row>
    <row r="230" spans="1:20" x14ac:dyDescent="0.25">
      <c r="A230" s="1" t="s">
        <v>50</v>
      </c>
      <c r="B230" s="29" t="s">
        <v>51</v>
      </c>
      <c r="C230" s="34">
        <v>5</v>
      </c>
      <c r="D230" s="31">
        <v>2</v>
      </c>
      <c r="E230" s="28">
        <v>13</v>
      </c>
      <c r="F230" s="28">
        <v>13.5</v>
      </c>
      <c r="G230" s="28">
        <f>SUM(Four_Semester_Algorithm_Lab[[#This Row],[Assignment]:[Final]])</f>
        <v>26.5</v>
      </c>
      <c r="H230" s="42">
        <f>ROUND(Four_Semester_Algorithm_Lab[[#This Row],[Ass &amp; Final]],0)</f>
        <v>27</v>
      </c>
      <c r="I230" s="42">
        <f>SUM(C230,D230,H230)</f>
        <v>34</v>
      </c>
      <c r="J230" s="46" t="str">
        <f t="shared" si="22"/>
        <v>F</v>
      </c>
      <c r="K230" s="44" t="str">
        <f t="shared" si="23"/>
        <v>0.00</v>
      </c>
      <c r="L230" s="34" t="str">
        <f t="shared" si="24"/>
        <v>Fail</v>
      </c>
    </row>
    <row r="231" spans="1:20" x14ac:dyDescent="0.25">
      <c r="A231" s="1" t="s">
        <v>53</v>
      </c>
      <c r="B231" s="29" t="s">
        <v>54</v>
      </c>
      <c r="C231" s="34">
        <v>4.5</v>
      </c>
      <c r="D231" s="31">
        <v>5</v>
      </c>
      <c r="E231" s="28">
        <v>11.5</v>
      </c>
      <c r="F231" s="28">
        <v>20</v>
      </c>
      <c r="G231" s="28">
        <f>SUM(Four_Semester_Algorithm_Lab[[#This Row],[Assignment]:[Final]])</f>
        <v>31.5</v>
      </c>
      <c r="H231" s="42">
        <f>ROUND(Four_Semester_Algorithm_Lab[[#This Row],[Ass &amp; Final]],0)</f>
        <v>32</v>
      </c>
      <c r="I231" s="42">
        <f t="shared" ref="I231:I232" si="26">SUM(C231,D231,H231)</f>
        <v>41.5</v>
      </c>
      <c r="J231" s="46" t="str">
        <f t="shared" si="22"/>
        <v>D</v>
      </c>
      <c r="K231" s="44" t="str">
        <f t="shared" si="23"/>
        <v>2.00</v>
      </c>
      <c r="L231" s="34" t="str">
        <f t="shared" si="24"/>
        <v>Pass</v>
      </c>
    </row>
    <row r="232" spans="1:20" ht="15.75" thickBot="1" x14ac:dyDescent="0.3">
      <c r="A232" s="122" t="s">
        <v>60</v>
      </c>
      <c r="B232" s="123" t="s">
        <v>61</v>
      </c>
      <c r="C232" s="124">
        <v>2</v>
      </c>
      <c r="D232" s="125">
        <v>8</v>
      </c>
      <c r="E232" s="126">
        <v>7.5</v>
      </c>
      <c r="F232" s="126">
        <v>33.5</v>
      </c>
      <c r="G232" s="126">
        <f>SUM(Four_Semester_Algorithm_Lab[[#This Row],[Assignment]:[Final]])</f>
        <v>41</v>
      </c>
      <c r="H232" s="127">
        <f>ROUND(Four_Semester_Algorithm_Lab[[#This Row],[Ass &amp; Final]],0)</f>
        <v>41</v>
      </c>
      <c r="I232" s="76">
        <f t="shared" si="26"/>
        <v>51</v>
      </c>
      <c r="J232" s="128" t="str">
        <f t="shared" si="22"/>
        <v>C+</v>
      </c>
      <c r="K232" s="129" t="str">
        <f t="shared" si="23"/>
        <v>2.50</v>
      </c>
      <c r="L232" s="124" t="str">
        <f t="shared" si="24"/>
        <v>Average</v>
      </c>
    </row>
    <row r="233" spans="1:20" x14ac:dyDescent="0.25">
      <c r="A233" s="68"/>
      <c r="B233" s="68"/>
      <c r="C233" s="30"/>
      <c r="D233" s="30"/>
      <c r="E233" s="30"/>
      <c r="F233" s="30"/>
      <c r="G233" s="69"/>
      <c r="H233" s="71"/>
      <c r="I233" s="71"/>
      <c r="J233" s="71"/>
      <c r="K233" s="69"/>
      <c r="L233" s="69"/>
      <c r="M233" s="30"/>
      <c r="N233" s="30"/>
      <c r="O233" s="30"/>
      <c r="P233" s="70"/>
      <c r="Q233" s="70"/>
      <c r="R233" s="30"/>
      <c r="S233" s="30"/>
      <c r="T233" s="30"/>
    </row>
    <row r="234" spans="1:20" s="110" customFormat="1" x14ac:dyDescent="0.25">
      <c r="A234" s="104"/>
      <c r="B234" s="104"/>
      <c r="C234" s="106"/>
      <c r="D234" s="106"/>
      <c r="E234" s="106"/>
      <c r="F234" s="106"/>
      <c r="G234" s="107"/>
      <c r="H234" s="108"/>
      <c r="I234" s="108"/>
      <c r="J234" s="108"/>
      <c r="K234" s="107"/>
      <c r="L234" s="107"/>
      <c r="M234" s="106"/>
      <c r="N234" s="106"/>
      <c r="O234" s="106"/>
      <c r="P234" s="109"/>
      <c r="Q234" s="109"/>
      <c r="R234" s="106"/>
      <c r="S234" s="106"/>
      <c r="T234" s="106"/>
    </row>
    <row r="235" spans="1:20" s="110" customFormat="1" x14ac:dyDescent="0.25">
      <c r="A235" s="104"/>
      <c r="B235" s="104"/>
      <c r="C235" s="106"/>
      <c r="D235" s="106"/>
      <c r="E235" s="106"/>
      <c r="F235" s="106"/>
      <c r="G235" s="107"/>
      <c r="H235" s="108"/>
      <c r="I235" s="108"/>
      <c r="J235" s="108"/>
      <c r="K235" s="107"/>
      <c r="L235" s="107"/>
      <c r="M235" s="106"/>
      <c r="N235" s="106"/>
      <c r="O235" s="106"/>
      <c r="P235" s="109"/>
      <c r="Q235" s="109"/>
      <c r="R235" s="106"/>
      <c r="S235" s="106"/>
      <c r="T235" s="106"/>
    </row>
    <row r="236" spans="1:20" s="110" customFormat="1" x14ac:dyDescent="0.25">
      <c r="A236" s="104"/>
      <c r="B236" s="104"/>
      <c r="C236" s="106"/>
      <c r="D236" s="106"/>
      <c r="E236" s="106"/>
      <c r="F236" s="106"/>
      <c r="G236" s="107"/>
      <c r="H236" s="108"/>
      <c r="I236" s="108"/>
      <c r="J236" s="108"/>
      <c r="K236" s="107"/>
      <c r="L236" s="107"/>
      <c r="M236" s="106"/>
      <c r="N236" s="106"/>
      <c r="O236" s="106"/>
      <c r="P236" s="109"/>
      <c r="Q236" s="109"/>
      <c r="R236" s="106"/>
      <c r="S236" s="106"/>
      <c r="T236" s="106"/>
    </row>
    <row r="237" spans="1:20" s="110" customFormat="1" x14ac:dyDescent="0.25">
      <c r="A237" s="104"/>
      <c r="B237" s="104"/>
      <c r="C237" s="106"/>
      <c r="D237" s="106"/>
      <c r="E237" s="106"/>
      <c r="F237" s="106"/>
      <c r="G237" s="107"/>
      <c r="H237" s="108"/>
      <c r="I237" s="108"/>
      <c r="J237" s="108"/>
      <c r="K237" s="107"/>
      <c r="L237" s="107"/>
      <c r="M237" s="106"/>
      <c r="N237" s="106"/>
      <c r="O237" s="106"/>
      <c r="P237" s="109"/>
      <c r="Q237" s="109"/>
      <c r="R237" s="106"/>
      <c r="S237" s="106"/>
      <c r="T237" s="106"/>
    </row>
    <row r="238" spans="1:20" s="110" customFormat="1" x14ac:dyDescent="0.25">
      <c r="A238" s="104"/>
      <c r="B238" s="104"/>
      <c r="C238" s="106"/>
      <c r="D238" s="106"/>
      <c r="E238" s="106"/>
      <c r="F238" s="106"/>
      <c r="G238" s="107"/>
      <c r="H238" s="108"/>
      <c r="I238" s="108"/>
      <c r="J238" s="108"/>
      <c r="K238" s="107"/>
      <c r="L238" s="107"/>
      <c r="M238" s="106"/>
      <c r="N238" s="106"/>
      <c r="O238" s="106"/>
      <c r="P238" s="109"/>
      <c r="Q238" s="109"/>
      <c r="R238" s="106"/>
      <c r="S238" s="106"/>
      <c r="T238" s="106"/>
    </row>
    <row r="239" spans="1:20" s="110" customFormat="1" x14ac:dyDescent="0.25"/>
    <row r="240" spans="1:20" s="110" customFormat="1" x14ac:dyDescent="0.25"/>
    <row r="241" spans="1:18" s="110" customFormat="1" x14ac:dyDescent="0.25"/>
    <row r="242" spans="1:18" s="110" customFormat="1" x14ac:dyDescent="0.25"/>
    <row r="243" spans="1:18" s="110" customFormat="1" x14ac:dyDescent="0.25"/>
    <row r="244" spans="1:18" s="110" customFormat="1" x14ac:dyDescent="0.25"/>
    <row r="245" spans="1:18" s="110" customFormat="1" x14ac:dyDescent="0.25"/>
    <row r="246" spans="1:18" s="110" customFormat="1" x14ac:dyDescent="0.25"/>
    <row r="247" spans="1:18" s="110" customFormat="1" x14ac:dyDescent="0.25"/>
    <row r="248" spans="1:18" s="110" customFormat="1" ht="27" customHeight="1" x14ac:dyDescent="0.25">
      <c r="A248" s="298"/>
      <c r="B248" s="298"/>
      <c r="C248" s="105"/>
      <c r="D248" s="105"/>
      <c r="E248" s="105"/>
      <c r="F248" s="299"/>
      <c r="G248" s="299"/>
      <c r="H248" s="299"/>
      <c r="I248" s="299"/>
      <c r="J248" s="299"/>
      <c r="K248" s="299"/>
      <c r="L248" s="299"/>
      <c r="M248" s="111"/>
      <c r="N248" s="112"/>
      <c r="Q248" s="105"/>
      <c r="R248" s="105"/>
    </row>
    <row r="249" spans="1:18" s="110" customFormat="1" ht="27" customHeight="1" x14ac:dyDescent="0.25">
      <c r="A249" s="298"/>
      <c r="B249" s="298"/>
      <c r="C249" s="105"/>
      <c r="D249" s="105"/>
      <c r="E249" s="113"/>
      <c r="F249" s="299"/>
      <c r="G249" s="299"/>
      <c r="H249" s="299"/>
      <c r="I249" s="299"/>
      <c r="J249" s="299"/>
      <c r="K249" s="299"/>
      <c r="L249" s="299"/>
      <c r="M249" s="114"/>
      <c r="N249" s="115"/>
    </row>
    <row r="250" spans="1:18" s="110" customFormat="1" x14ac:dyDescent="0.25">
      <c r="A250" s="116"/>
      <c r="B250" s="116"/>
      <c r="C250" s="107"/>
      <c r="D250" s="107"/>
      <c r="E250" s="107"/>
      <c r="F250" s="107"/>
      <c r="G250" s="107"/>
      <c r="H250" s="104"/>
      <c r="I250" s="107"/>
      <c r="J250" s="104"/>
      <c r="K250" s="104"/>
      <c r="L250" s="107"/>
    </row>
    <row r="251" spans="1:18" s="110" customFormat="1" x14ac:dyDescent="0.25">
      <c r="A251" s="104"/>
      <c r="B251" s="105"/>
      <c r="C251" s="113"/>
      <c r="D251" s="117"/>
      <c r="E251" s="117"/>
      <c r="F251" s="117"/>
      <c r="G251" s="118"/>
      <c r="H251" s="118"/>
      <c r="I251" s="118"/>
      <c r="J251" s="118"/>
      <c r="K251" s="118"/>
      <c r="L251" s="118"/>
    </row>
    <row r="252" spans="1:18" s="110" customFormat="1" x14ac:dyDescent="0.25">
      <c r="A252" s="104"/>
      <c r="B252" s="104"/>
      <c r="C252" s="106"/>
      <c r="D252" s="108"/>
      <c r="E252" s="106"/>
      <c r="F252" s="106"/>
      <c r="G252" s="106"/>
      <c r="H252" s="109"/>
      <c r="I252" s="109"/>
      <c r="J252" s="106"/>
      <c r="K252" s="106"/>
      <c r="L252" s="106"/>
    </row>
    <row r="253" spans="1:18" s="110" customFormat="1" x14ac:dyDescent="0.25">
      <c r="A253" s="104"/>
      <c r="B253" s="104"/>
      <c r="C253" s="106"/>
      <c r="D253" s="108"/>
      <c r="E253" s="106"/>
      <c r="F253" s="106"/>
      <c r="G253" s="106"/>
      <c r="H253" s="109"/>
      <c r="I253" s="109"/>
      <c r="J253" s="106"/>
      <c r="K253" s="106"/>
      <c r="L253" s="106"/>
    </row>
    <row r="254" spans="1:18" s="110" customFormat="1" x14ac:dyDescent="0.25">
      <c r="A254" s="104"/>
      <c r="B254" s="104"/>
      <c r="C254" s="106"/>
      <c r="D254" s="108"/>
      <c r="E254" s="106"/>
      <c r="F254" s="106"/>
      <c r="G254" s="106"/>
      <c r="H254" s="109"/>
      <c r="I254" s="109"/>
      <c r="J254" s="106"/>
      <c r="K254" s="106"/>
      <c r="L254" s="106"/>
    </row>
    <row r="255" spans="1:18" s="110" customFormat="1" x14ac:dyDescent="0.25">
      <c r="A255" s="104"/>
      <c r="B255" s="104"/>
      <c r="C255" s="106"/>
      <c r="D255" s="108"/>
      <c r="E255" s="106"/>
      <c r="F255" s="106"/>
      <c r="G255" s="106"/>
      <c r="H255" s="109"/>
      <c r="I255" s="109"/>
      <c r="J255" s="106"/>
      <c r="K255" s="106"/>
      <c r="L255" s="106"/>
    </row>
    <row r="256" spans="1:18" s="110" customFormat="1" x14ac:dyDescent="0.25">
      <c r="A256" s="104"/>
      <c r="B256" s="104"/>
      <c r="C256" s="106"/>
      <c r="D256" s="108"/>
      <c r="E256" s="106"/>
      <c r="F256" s="106"/>
      <c r="G256" s="106"/>
      <c r="H256" s="109"/>
      <c r="I256" s="109"/>
      <c r="J256" s="106"/>
      <c r="K256" s="106"/>
      <c r="L256" s="106"/>
    </row>
    <row r="257" spans="1:12" s="110" customFormat="1" x14ac:dyDescent="0.25">
      <c r="A257" s="104"/>
      <c r="B257" s="104"/>
      <c r="C257" s="106"/>
      <c r="D257" s="108"/>
      <c r="E257" s="106"/>
      <c r="F257" s="106"/>
      <c r="G257" s="106"/>
      <c r="H257" s="109"/>
      <c r="I257" s="109"/>
      <c r="J257" s="106"/>
      <c r="K257" s="106"/>
      <c r="L257" s="106"/>
    </row>
    <row r="258" spans="1:12" s="110" customFormat="1" x14ac:dyDescent="0.25">
      <c r="A258" s="104"/>
      <c r="B258" s="104"/>
      <c r="C258" s="106"/>
      <c r="D258" s="108"/>
      <c r="E258" s="106"/>
      <c r="F258" s="106"/>
      <c r="G258" s="106"/>
      <c r="H258" s="109"/>
      <c r="I258" s="109"/>
      <c r="J258" s="106"/>
      <c r="K258" s="106"/>
      <c r="L258" s="106"/>
    </row>
    <row r="259" spans="1:12" s="110" customFormat="1" x14ac:dyDescent="0.25">
      <c r="A259" s="104"/>
      <c r="B259" s="104"/>
      <c r="C259" s="106"/>
      <c r="D259" s="108"/>
      <c r="E259" s="106"/>
      <c r="F259" s="106"/>
      <c r="G259" s="106"/>
      <c r="H259" s="109"/>
      <c r="I259" s="109"/>
      <c r="J259" s="106"/>
      <c r="K259" s="106"/>
      <c r="L259" s="106"/>
    </row>
    <row r="260" spans="1:12" s="110" customFormat="1" x14ac:dyDescent="0.25">
      <c r="A260" s="104"/>
      <c r="B260" s="104"/>
      <c r="C260" s="106"/>
      <c r="D260" s="108"/>
      <c r="E260" s="106"/>
      <c r="F260" s="106"/>
      <c r="G260" s="106"/>
      <c r="H260" s="109"/>
      <c r="I260" s="109"/>
      <c r="J260" s="106"/>
      <c r="K260" s="106"/>
      <c r="L260" s="106"/>
    </row>
    <row r="261" spans="1:12" s="110" customFormat="1" x14ac:dyDescent="0.25">
      <c r="A261" s="104"/>
      <c r="B261" s="104"/>
      <c r="C261" s="106"/>
      <c r="D261" s="108"/>
      <c r="E261" s="106"/>
      <c r="F261" s="106"/>
      <c r="G261" s="106"/>
      <c r="H261" s="109"/>
      <c r="I261" s="109"/>
      <c r="J261" s="106"/>
      <c r="K261" s="106"/>
      <c r="L261" s="106"/>
    </row>
    <row r="262" spans="1:12" s="110" customFormat="1" x14ac:dyDescent="0.25">
      <c r="A262" s="104"/>
      <c r="B262" s="104"/>
      <c r="C262" s="106"/>
      <c r="D262" s="108"/>
      <c r="E262" s="106"/>
      <c r="F262" s="106"/>
      <c r="G262" s="106"/>
      <c r="H262" s="109"/>
      <c r="I262" s="109"/>
      <c r="J262" s="106"/>
      <c r="K262" s="106"/>
      <c r="L262" s="106"/>
    </row>
    <row r="263" spans="1:12" s="110" customFormat="1" x14ac:dyDescent="0.25">
      <c r="A263" s="104"/>
      <c r="B263" s="104"/>
      <c r="C263" s="106"/>
      <c r="D263" s="108"/>
      <c r="E263" s="106"/>
      <c r="F263" s="106"/>
      <c r="G263" s="106"/>
      <c r="H263" s="109"/>
      <c r="I263" s="109"/>
      <c r="J263" s="106"/>
      <c r="K263" s="106"/>
      <c r="L263" s="106"/>
    </row>
    <row r="264" spans="1:12" s="110" customFormat="1" x14ac:dyDescent="0.25">
      <c r="A264" s="104"/>
      <c r="B264" s="104"/>
      <c r="C264" s="106"/>
      <c r="D264" s="108"/>
      <c r="E264" s="106"/>
      <c r="F264" s="106"/>
      <c r="G264" s="106"/>
      <c r="H264" s="109"/>
      <c r="I264" s="109"/>
      <c r="J264" s="106"/>
      <c r="K264" s="106"/>
      <c r="L264" s="106"/>
    </row>
    <row r="265" spans="1:12" s="110" customFormat="1" x14ac:dyDescent="0.25">
      <c r="A265" s="104"/>
      <c r="B265" s="104"/>
      <c r="C265" s="106"/>
      <c r="D265" s="108"/>
      <c r="E265" s="106"/>
      <c r="F265" s="106"/>
      <c r="G265" s="106"/>
      <c r="H265" s="109"/>
      <c r="I265" s="109"/>
      <c r="J265" s="106"/>
      <c r="K265" s="106"/>
      <c r="L265" s="106"/>
    </row>
    <row r="266" spans="1:12" s="110" customFormat="1" x14ac:dyDescent="0.25">
      <c r="A266" s="104"/>
      <c r="B266" s="104"/>
      <c r="C266" s="106"/>
      <c r="D266" s="108"/>
      <c r="E266" s="106"/>
      <c r="F266" s="106"/>
      <c r="G266" s="106"/>
      <c r="H266" s="109"/>
      <c r="I266" s="109"/>
      <c r="J266" s="106"/>
      <c r="K266" s="106"/>
      <c r="L266" s="106"/>
    </row>
    <row r="267" spans="1:12" s="110" customFormat="1" x14ac:dyDescent="0.25">
      <c r="A267" s="104"/>
      <c r="B267" s="104"/>
      <c r="C267" s="106"/>
      <c r="D267" s="108"/>
      <c r="E267" s="106"/>
      <c r="F267" s="106"/>
      <c r="G267" s="106"/>
      <c r="H267" s="109"/>
      <c r="I267" s="109"/>
      <c r="J267" s="106"/>
      <c r="K267" s="106"/>
      <c r="L267" s="106"/>
    </row>
    <row r="268" spans="1:12" s="110" customFormat="1" x14ac:dyDescent="0.25">
      <c r="A268" s="104"/>
      <c r="B268" s="104"/>
      <c r="C268" s="106"/>
      <c r="D268" s="108"/>
      <c r="E268" s="106"/>
      <c r="F268" s="106"/>
      <c r="G268" s="106"/>
      <c r="H268" s="109"/>
      <c r="I268" s="109"/>
      <c r="J268" s="106"/>
      <c r="K268" s="106"/>
      <c r="L268" s="106"/>
    </row>
    <row r="269" spans="1:12" s="110" customFormat="1" x14ac:dyDescent="0.25">
      <c r="A269" s="104"/>
      <c r="B269" s="104"/>
      <c r="C269" s="106"/>
      <c r="D269" s="108"/>
      <c r="E269" s="106"/>
      <c r="F269" s="106"/>
      <c r="G269" s="106"/>
      <c r="H269" s="109"/>
      <c r="I269" s="109"/>
      <c r="J269" s="106"/>
      <c r="K269" s="106"/>
      <c r="L269" s="106"/>
    </row>
    <row r="270" spans="1:12" s="110" customFormat="1" x14ac:dyDescent="0.25">
      <c r="A270" s="104"/>
      <c r="B270" s="104"/>
      <c r="C270" s="106"/>
      <c r="D270" s="108"/>
      <c r="E270" s="106"/>
      <c r="F270" s="106"/>
      <c r="G270" s="106"/>
      <c r="H270" s="109"/>
      <c r="I270" s="109"/>
      <c r="J270" s="106"/>
      <c r="K270" s="106"/>
      <c r="L270" s="106"/>
    </row>
    <row r="271" spans="1:12" s="110" customFormat="1" x14ac:dyDescent="0.25">
      <c r="A271" s="104"/>
      <c r="B271" s="104"/>
      <c r="C271" s="106"/>
      <c r="D271" s="108"/>
      <c r="E271" s="106"/>
      <c r="F271" s="106"/>
      <c r="G271" s="106"/>
      <c r="H271" s="109"/>
      <c r="I271" s="109"/>
      <c r="J271" s="106"/>
      <c r="K271" s="106"/>
      <c r="L271" s="106"/>
    </row>
    <row r="272" spans="1:12" s="110" customFormat="1" x14ac:dyDescent="0.25">
      <c r="A272" s="104"/>
      <c r="B272" s="104"/>
      <c r="C272" s="106"/>
      <c r="D272" s="108"/>
      <c r="E272" s="106"/>
      <c r="F272" s="106"/>
      <c r="G272" s="106"/>
      <c r="H272" s="109"/>
      <c r="I272" s="109"/>
      <c r="J272" s="106"/>
      <c r="K272" s="106"/>
      <c r="L272" s="106"/>
    </row>
    <row r="273" spans="1:12" s="110" customFormat="1" x14ac:dyDescent="0.25">
      <c r="A273" s="104"/>
      <c r="B273" s="104"/>
      <c r="C273" s="106"/>
      <c r="D273" s="108"/>
      <c r="E273" s="106"/>
      <c r="F273" s="106"/>
      <c r="G273" s="106"/>
      <c r="H273" s="109"/>
      <c r="I273" s="109"/>
      <c r="J273" s="106"/>
      <c r="K273" s="106"/>
      <c r="L273" s="106"/>
    </row>
    <row r="274" spans="1:12" s="110" customFormat="1" x14ac:dyDescent="0.25">
      <c r="A274" s="104"/>
      <c r="B274" s="104"/>
      <c r="C274" s="106"/>
      <c r="D274" s="108"/>
      <c r="E274" s="106"/>
      <c r="F274" s="106"/>
      <c r="G274" s="106"/>
      <c r="H274" s="109"/>
      <c r="I274" s="109"/>
      <c r="J274" s="106"/>
      <c r="K274" s="106"/>
      <c r="L274" s="106"/>
    </row>
    <row r="275" spans="1:12" s="110" customFormat="1" x14ac:dyDescent="0.25">
      <c r="A275" s="104"/>
      <c r="B275" s="104"/>
      <c r="C275" s="106"/>
      <c r="D275" s="108"/>
      <c r="E275" s="106"/>
      <c r="F275" s="106"/>
      <c r="G275" s="106"/>
      <c r="H275" s="109"/>
      <c r="I275" s="109"/>
      <c r="J275" s="106"/>
      <c r="K275" s="106"/>
      <c r="L275" s="106"/>
    </row>
    <row r="276" spans="1:12" s="110" customFormat="1" x14ac:dyDescent="0.25">
      <c r="A276" s="104"/>
      <c r="B276" s="104"/>
      <c r="C276" s="106"/>
      <c r="D276" s="108"/>
      <c r="E276" s="106"/>
      <c r="F276" s="106"/>
      <c r="G276" s="106"/>
      <c r="H276" s="109"/>
      <c r="I276" s="109"/>
      <c r="J276" s="106"/>
      <c r="K276" s="106"/>
      <c r="L276" s="106"/>
    </row>
    <row r="277" spans="1:12" s="110" customFormat="1" x14ac:dyDescent="0.25">
      <c r="A277" s="104"/>
      <c r="B277" s="104"/>
      <c r="C277" s="106"/>
      <c r="D277" s="108"/>
      <c r="E277" s="106"/>
      <c r="F277" s="106"/>
      <c r="G277" s="106"/>
      <c r="H277" s="109"/>
      <c r="I277" s="109"/>
      <c r="J277" s="106"/>
      <c r="K277" s="106"/>
      <c r="L277" s="106"/>
    </row>
    <row r="278" spans="1:12" s="110" customFormat="1" x14ac:dyDescent="0.25">
      <c r="A278" s="104"/>
      <c r="B278" s="104"/>
      <c r="C278" s="106"/>
      <c r="D278" s="108"/>
      <c r="E278" s="106"/>
      <c r="F278" s="106"/>
      <c r="G278" s="106"/>
      <c r="H278" s="109"/>
      <c r="I278" s="109"/>
      <c r="J278" s="106"/>
      <c r="K278" s="106"/>
      <c r="L278" s="106"/>
    </row>
    <row r="279" spans="1:12" s="110" customFormat="1" x14ac:dyDescent="0.25">
      <c r="A279" s="104"/>
      <c r="B279" s="104"/>
      <c r="C279" s="106"/>
      <c r="D279" s="108"/>
      <c r="E279" s="106"/>
      <c r="F279" s="106"/>
      <c r="G279" s="106"/>
      <c r="H279" s="109"/>
      <c r="I279" s="109"/>
      <c r="J279" s="106"/>
      <c r="K279" s="106"/>
      <c r="L279" s="106"/>
    </row>
    <row r="280" spans="1:12" s="110" customFormat="1" x14ac:dyDescent="0.25"/>
    <row r="281" spans="1:12" s="110" customFormat="1" x14ac:dyDescent="0.25"/>
    <row r="282" spans="1:12" s="110" customFormat="1" x14ac:dyDescent="0.25"/>
    <row r="283" spans="1:12" s="110" customFormat="1" x14ac:dyDescent="0.25"/>
    <row r="284" spans="1:12" s="110" customFormat="1" x14ac:dyDescent="0.25"/>
    <row r="285" spans="1:12" s="110" customFormat="1" x14ac:dyDescent="0.25"/>
    <row r="286" spans="1:12" s="110" customFormat="1" x14ac:dyDescent="0.25"/>
  </sheetData>
  <mergeCells count="16">
    <mergeCell ref="A13:Q15"/>
    <mergeCell ref="A248:B248"/>
    <mergeCell ref="F248:L249"/>
    <mergeCell ref="A249:B249"/>
    <mergeCell ref="A154:B154"/>
    <mergeCell ref="F154:L155"/>
    <mergeCell ref="A155:B155"/>
    <mergeCell ref="A201:B201"/>
    <mergeCell ref="F201:L202"/>
    <mergeCell ref="A202:B202"/>
    <mergeCell ref="A60:B60"/>
    <mergeCell ref="F60:L61"/>
    <mergeCell ref="A61:B61"/>
    <mergeCell ref="A107:B107"/>
    <mergeCell ref="F107:L108"/>
    <mergeCell ref="A108:B108"/>
  </mergeCells>
  <pageMargins left="0.7" right="0.7" top="0.75" bottom="0.75" header="0.3" footer="0.3"/>
  <pageSetup orientation="portrait" horizontalDpi="300" verticalDpi="0" r:id="rId1"/>
  <ignoredErrors>
    <ignoredError sqref="C63:J63 C64:E69 H64:J69 M63:N63 M64:N69 C110:J110 C111:E116 H111:J116 C157:J157 C158:E163 H158:J163 D204:E204 D205:F210 P17 C71:E75 H71:J75 M71:N75 C77:E80 H77:J80 M77:N80 C82:E91 H82:J91 M82:N91 C118:E122 H118:J122 C124:E127 H124:J127 C129:E138 H129:J138 C165:E169 H165:J169 C171:E174 H171:J174 C176:E185 H176:J185 D212:F216 D218:F221 D223:F232" calculatedColumn="1"/>
  </ignoredErrors>
  <drawing r:id="rId2"/>
  <tableParts count="5">
    <tablePart r:id="rId3"/>
    <tablePart r:id="rId4"/>
    <tablePart r:id="rId5"/>
    <tablePart r:id="rId6"/>
    <tablePart r:id="rId7"/>
  </tableParts>
  <extLst>
    <ext xmlns:x15="http://schemas.microsoft.com/office/spreadsheetml/2010/11/main" uri="{3A4CF648-6AED-40f4-86FF-DC5316D8AED3}">
      <x14:slicerList xmlns:x14="http://schemas.microsoft.com/office/spreadsheetml/2009/9/main">
        <x14:slicer r:id="rId8"/>
      </x14:slicerList>
    </ext>
  </extLst>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7509A5-0735-43E7-B4FE-6CA500DEF46D}">
  <dimension ref="A13:V194"/>
  <sheetViews>
    <sheetView zoomScale="85" zoomScaleNormal="85" workbookViewId="0"/>
  </sheetViews>
  <sheetFormatPr defaultRowHeight="15" x14ac:dyDescent="0.25"/>
  <cols>
    <col min="1" max="1" width="10.5703125" bestFit="1" customWidth="1"/>
    <col min="2" max="2" width="27.5703125" bestFit="1" customWidth="1"/>
    <col min="3" max="3" width="12.7109375" bestFit="1" customWidth="1"/>
    <col min="4" max="4" width="18.42578125" bestFit="1" customWidth="1"/>
    <col min="5" max="5" width="32.5703125" bestFit="1" customWidth="1"/>
    <col min="6" max="6" width="30.85546875" bestFit="1" customWidth="1"/>
    <col min="7" max="7" width="37" bestFit="1" customWidth="1"/>
    <col min="8" max="8" width="51" bestFit="1" customWidth="1"/>
    <col min="9" max="9" width="33.28515625" bestFit="1" customWidth="1"/>
    <col min="10" max="10" width="39.28515625" bestFit="1" customWidth="1"/>
    <col min="11" max="11" width="51.28515625" bestFit="1" customWidth="1"/>
    <col min="12" max="12" width="34.85546875" bestFit="1" customWidth="1"/>
    <col min="13" max="14" width="22" bestFit="1" customWidth="1"/>
    <col min="15" max="15" width="16.140625" bestFit="1" customWidth="1"/>
    <col min="16" max="16" width="18" bestFit="1" customWidth="1"/>
    <col min="17" max="17" width="8" bestFit="1" customWidth="1"/>
    <col min="18" max="18" width="13.7109375" bestFit="1" customWidth="1"/>
    <col min="19" max="19" width="13.85546875" customWidth="1"/>
    <col min="20" max="20" width="18" bestFit="1" customWidth="1"/>
  </cols>
  <sheetData>
    <row r="13" spans="1:14" ht="15" customHeight="1" x14ac:dyDescent="0.25">
      <c r="A13" s="297" t="s">
        <v>410</v>
      </c>
      <c r="B13" s="297"/>
      <c r="C13" s="297"/>
      <c r="D13" s="297"/>
      <c r="E13" s="297"/>
      <c r="F13" s="297"/>
      <c r="G13" s="297"/>
      <c r="H13" s="297"/>
      <c r="I13" s="297"/>
      <c r="J13" s="297"/>
      <c r="K13" s="297"/>
      <c r="L13" s="297"/>
      <c r="M13" s="297"/>
      <c r="N13" s="297"/>
    </row>
    <row r="14" spans="1:14" ht="15" customHeight="1" x14ac:dyDescent="0.25">
      <c r="A14" s="297"/>
      <c r="B14" s="297"/>
      <c r="C14" s="297"/>
      <c r="D14" s="297"/>
      <c r="E14" s="297"/>
      <c r="F14" s="297"/>
      <c r="G14" s="297"/>
      <c r="H14" s="297"/>
      <c r="I14" s="297"/>
      <c r="J14" s="297"/>
      <c r="K14" s="297"/>
      <c r="L14" s="297"/>
      <c r="M14" s="297"/>
      <c r="N14" s="297"/>
    </row>
    <row r="15" spans="1:14" ht="15" customHeight="1" x14ac:dyDescent="0.25">
      <c r="A15" s="297"/>
      <c r="B15" s="297"/>
      <c r="C15" s="297"/>
      <c r="D15" s="297"/>
      <c r="E15" s="297"/>
      <c r="F15" s="297"/>
      <c r="G15" s="297"/>
      <c r="H15" s="297"/>
      <c r="I15" s="297"/>
      <c r="J15" s="297"/>
      <c r="K15" s="297"/>
      <c r="L15" s="297"/>
      <c r="M15" s="297"/>
      <c r="N15" s="297"/>
    </row>
    <row r="16" spans="1:14" x14ac:dyDescent="0.25">
      <c r="A16" s="1" t="s">
        <v>0</v>
      </c>
      <c r="B16" s="1" t="s">
        <v>20</v>
      </c>
      <c r="C16" s="1" t="s">
        <v>331</v>
      </c>
      <c r="D16" s="1" t="s">
        <v>422</v>
      </c>
      <c r="E16" s="1" t="s">
        <v>423</v>
      </c>
      <c r="F16" s="1" t="s">
        <v>332</v>
      </c>
      <c r="G16" s="1" t="s">
        <v>424</v>
      </c>
      <c r="H16" s="1" t="s">
        <v>425</v>
      </c>
      <c r="I16" s="1" t="s">
        <v>421</v>
      </c>
      <c r="J16" s="1" t="s">
        <v>426</v>
      </c>
      <c r="K16" s="1" t="s">
        <v>427</v>
      </c>
      <c r="L16" s="1" t="s">
        <v>429</v>
      </c>
      <c r="M16" s="1" t="s">
        <v>162</v>
      </c>
      <c r="N16" s="1" t="s">
        <v>428</v>
      </c>
    </row>
    <row r="17" spans="1:14" x14ac:dyDescent="0.25">
      <c r="A17" s="80" t="s">
        <v>57</v>
      </c>
      <c r="B17" s="7" t="s">
        <v>58</v>
      </c>
      <c r="C17" s="28" t="str">
        <f t="shared" ref="C17:C44" si="0">S64</f>
        <v>4.00</v>
      </c>
      <c r="D17" s="80">
        <v>3</v>
      </c>
      <c r="E17" s="103">
        <f>Five_Semester_SGPA[[#This Row],[Statistics-I]]*Five_Semester_SGPA[[#This Row],[Statistics-I Credit]]</f>
        <v>12</v>
      </c>
      <c r="F17" s="28" t="str">
        <f t="shared" ref="F17:F44" si="1">S111</f>
        <v>2.75</v>
      </c>
      <c r="G17" s="80">
        <v>3</v>
      </c>
      <c r="H17" s="103">
        <f>Five_Semester_SGPA[[#This Row],[Financial Management System]]*Five_Semester_SGPA[[#This Row],[Financial Management System Credit]]</f>
        <v>8.25</v>
      </c>
      <c r="I17" s="28" t="str">
        <f t="shared" ref="I17:I44" si="2">O158</f>
        <v>3.25</v>
      </c>
      <c r="J17" s="80">
        <v>3</v>
      </c>
      <c r="K17" s="103">
        <f>Five_Semester_SGPA[[#This Row],[Database Management System]]*Five_Semester_SGPA[[#This Row],[Database Management System Credit]]</f>
        <v>9.75</v>
      </c>
      <c r="L17" s="103">
        <f>SUM(Five_Semester_SGPA[[#This Row],[Statistics-I (Total Grade + Credit)]]+Five_Semester_SGPA[[#This Row],[Financial Management System (Total Grade + Credit)]]+Five_Semester_SGPA[[#This Row],[Database Management System (Total Grade + Credit)]])</f>
        <v>30</v>
      </c>
      <c r="M17" s="80">
        <f>SUM(Five_Semester_SGPA[[#This Row],[Statistics-I Credit]]+Five_Semester_SGPA[[#This Row],[Financial Management System Credit]]+Five_Semester_SGPA[[#This Row],[Database Management System Credit]])</f>
        <v>9</v>
      </c>
      <c r="N17" s="28">
        <f>Five_Semester_SGPA[[#This Row],[Total Subject (Total Grade + Credit)]]/Five_Semester_SGPA[[#This Row],[Total Subject Credit]]</f>
        <v>3.3333333333333335</v>
      </c>
    </row>
    <row r="18" spans="1:14" x14ac:dyDescent="0.25">
      <c r="A18" s="80" t="s">
        <v>56</v>
      </c>
      <c r="B18" s="7" t="s">
        <v>59</v>
      </c>
      <c r="C18" s="28" t="str">
        <f t="shared" si="0"/>
        <v>2.25</v>
      </c>
      <c r="D18" s="80">
        <v>3</v>
      </c>
      <c r="E18" s="103">
        <f>Five_Semester_SGPA[[#This Row],[Statistics-I]]*Five_Semester_SGPA[[#This Row],[Statistics-I Credit]]</f>
        <v>6.75</v>
      </c>
      <c r="F18" s="28" t="str">
        <f t="shared" si="1"/>
        <v>0.00</v>
      </c>
      <c r="G18" s="80">
        <v>3</v>
      </c>
      <c r="H18" s="103">
        <f>Five_Semester_SGPA[[#This Row],[Financial Management System]]*Five_Semester_SGPA[[#This Row],[Financial Management System Credit]]</f>
        <v>0</v>
      </c>
      <c r="I18" s="28" t="str">
        <f t="shared" si="2"/>
        <v>2.50</v>
      </c>
      <c r="J18" s="80">
        <v>3</v>
      </c>
      <c r="K18" s="103">
        <f>Five_Semester_SGPA[[#This Row],[Database Management System]]*Five_Semester_SGPA[[#This Row],[Database Management System Credit]]</f>
        <v>7.5</v>
      </c>
      <c r="L18" s="103">
        <f>SUM(Five_Semester_SGPA[[#This Row],[Statistics-I (Total Grade + Credit)]]+Five_Semester_SGPA[[#This Row],[Financial Management System (Total Grade + Credit)]]+Five_Semester_SGPA[[#This Row],[Database Management System (Total Grade + Credit)]])</f>
        <v>14.25</v>
      </c>
      <c r="M18" s="80">
        <f>SUM(Five_Semester_SGPA[[#This Row],[Statistics-I Credit]]+Five_Semester_SGPA[[#This Row],[Financial Management System Credit]]+Five_Semester_SGPA[[#This Row],[Database Management System Credit]])</f>
        <v>9</v>
      </c>
      <c r="N18" s="28">
        <f>Five_Semester_SGPA[[#This Row],[Total Subject (Total Grade + Credit)]]/Five_Semester_SGPA[[#This Row],[Total Subject Credit]]</f>
        <v>1.5833333333333333</v>
      </c>
    </row>
    <row r="19" spans="1:14" x14ac:dyDescent="0.25">
      <c r="A19" s="80" t="s">
        <v>1</v>
      </c>
      <c r="B19" s="7" t="s">
        <v>27</v>
      </c>
      <c r="C19" s="28" t="str">
        <f t="shared" si="0"/>
        <v>2.25</v>
      </c>
      <c r="D19" s="80">
        <v>3</v>
      </c>
      <c r="E19" s="103">
        <f>Five_Semester_SGPA[[#This Row],[Statistics-I]]*Five_Semester_SGPA[[#This Row],[Statistics-I Credit]]</f>
        <v>6.75</v>
      </c>
      <c r="F19" s="28" t="str">
        <f t="shared" si="1"/>
        <v>3.50</v>
      </c>
      <c r="G19" s="80">
        <v>3</v>
      </c>
      <c r="H19" s="103">
        <f>Five_Semester_SGPA[[#This Row],[Financial Management System]]*Five_Semester_SGPA[[#This Row],[Financial Management System Credit]]</f>
        <v>10.5</v>
      </c>
      <c r="I19" s="28" t="str">
        <f t="shared" si="2"/>
        <v>0.00</v>
      </c>
      <c r="J19" s="80">
        <v>3</v>
      </c>
      <c r="K19" s="103">
        <f>Five_Semester_SGPA[[#This Row],[Database Management System]]*Five_Semester_SGPA[[#This Row],[Database Management System Credit]]</f>
        <v>0</v>
      </c>
      <c r="L19" s="103">
        <f>SUM(Five_Semester_SGPA[[#This Row],[Statistics-I (Total Grade + Credit)]]+Five_Semester_SGPA[[#This Row],[Financial Management System (Total Grade + Credit)]]+Five_Semester_SGPA[[#This Row],[Database Management System (Total Grade + Credit)]])</f>
        <v>17.25</v>
      </c>
      <c r="M19" s="80">
        <f>SUM(Five_Semester_SGPA[[#This Row],[Statistics-I Credit]]+Five_Semester_SGPA[[#This Row],[Financial Management System Credit]]+Five_Semester_SGPA[[#This Row],[Database Management System Credit]])</f>
        <v>9</v>
      </c>
      <c r="N19" s="28">
        <f>Five_Semester_SGPA[[#This Row],[Total Subject (Total Grade + Credit)]]/Five_Semester_SGPA[[#This Row],[Total Subject Credit]]</f>
        <v>1.9166666666666667</v>
      </c>
    </row>
    <row r="20" spans="1:14" x14ac:dyDescent="0.25">
      <c r="A20" s="80" t="s">
        <v>2</v>
      </c>
      <c r="B20" s="7" t="s">
        <v>28</v>
      </c>
      <c r="C20" s="28" t="str">
        <f t="shared" si="0"/>
        <v>0.00</v>
      </c>
      <c r="D20" s="80">
        <v>3</v>
      </c>
      <c r="E20" s="103">
        <f>Five_Semester_SGPA[[#This Row],[Statistics-I]]*Five_Semester_SGPA[[#This Row],[Statistics-I Credit]]</f>
        <v>0</v>
      </c>
      <c r="F20" s="28" t="str">
        <f t="shared" si="1"/>
        <v>3.50</v>
      </c>
      <c r="G20" s="80">
        <v>3</v>
      </c>
      <c r="H20" s="103">
        <f>Five_Semester_SGPA[[#This Row],[Financial Management System]]*Five_Semester_SGPA[[#This Row],[Financial Management System Credit]]</f>
        <v>10.5</v>
      </c>
      <c r="I20" s="28" t="str">
        <f t="shared" si="2"/>
        <v>2.25</v>
      </c>
      <c r="J20" s="80">
        <v>3</v>
      </c>
      <c r="K20" s="103">
        <f>Five_Semester_SGPA[[#This Row],[Database Management System]]*Five_Semester_SGPA[[#This Row],[Database Management System Credit]]</f>
        <v>6.75</v>
      </c>
      <c r="L20" s="103">
        <f>SUM(Five_Semester_SGPA[[#This Row],[Statistics-I (Total Grade + Credit)]]+Five_Semester_SGPA[[#This Row],[Financial Management System (Total Grade + Credit)]]+Five_Semester_SGPA[[#This Row],[Database Management System (Total Grade + Credit)]])</f>
        <v>17.25</v>
      </c>
      <c r="M20" s="80">
        <f>SUM(Five_Semester_SGPA[[#This Row],[Statistics-I Credit]]+Five_Semester_SGPA[[#This Row],[Financial Management System Credit]]+Five_Semester_SGPA[[#This Row],[Database Management System Credit]])</f>
        <v>9</v>
      </c>
      <c r="N20" s="28">
        <f>Five_Semester_SGPA[[#This Row],[Total Subject (Total Grade + Credit)]]/Five_Semester_SGPA[[#This Row],[Total Subject Credit]]</f>
        <v>1.9166666666666667</v>
      </c>
    </row>
    <row r="21" spans="1:14" x14ac:dyDescent="0.25">
      <c r="A21" s="80" t="s">
        <v>3</v>
      </c>
      <c r="B21" s="7" t="s">
        <v>29</v>
      </c>
      <c r="C21" s="28" t="str">
        <f t="shared" si="0"/>
        <v>2.75</v>
      </c>
      <c r="D21" s="80">
        <v>3</v>
      </c>
      <c r="E21" s="103">
        <f>Five_Semester_SGPA[[#This Row],[Statistics-I]]*Five_Semester_SGPA[[#This Row],[Statistics-I Credit]]</f>
        <v>8.25</v>
      </c>
      <c r="F21" s="28" t="str">
        <f t="shared" si="1"/>
        <v>3.00</v>
      </c>
      <c r="G21" s="80">
        <v>3</v>
      </c>
      <c r="H21" s="103">
        <f>Five_Semester_SGPA[[#This Row],[Financial Management System]]*Five_Semester_SGPA[[#This Row],[Financial Management System Credit]]</f>
        <v>9</v>
      </c>
      <c r="I21" s="28" t="str">
        <f t="shared" si="2"/>
        <v>2.50</v>
      </c>
      <c r="J21" s="80">
        <v>3</v>
      </c>
      <c r="K21" s="103">
        <f>Five_Semester_SGPA[[#This Row],[Database Management System]]*Five_Semester_SGPA[[#This Row],[Database Management System Credit]]</f>
        <v>7.5</v>
      </c>
      <c r="L21" s="103">
        <f>SUM(Five_Semester_SGPA[[#This Row],[Statistics-I (Total Grade + Credit)]]+Five_Semester_SGPA[[#This Row],[Financial Management System (Total Grade + Credit)]]+Five_Semester_SGPA[[#This Row],[Database Management System (Total Grade + Credit)]])</f>
        <v>24.75</v>
      </c>
      <c r="M21" s="80">
        <f>SUM(Five_Semester_SGPA[[#This Row],[Statistics-I Credit]]+Five_Semester_SGPA[[#This Row],[Financial Management System Credit]]+Five_Semester_SGPA[[#This Row],[Database Management System Credit]])</f>
        <v>9</v>
      </c>
      <c r="N21" s="28">
        <f>Five_Semester_SGPA[[#This Row],[Total Subject (Total Grade + Credit)]]/Five_Semester_SGPA[[#This Row],[Total Subject Credit]]</f>
        <v>2.75</v>
      </c>
    </row>
    <row r="22" spans="1:14" x14ac:dyDescent="0.25">
      <c r="A22" s="80" t="s">
        <v>4</v>
      </c>
      <c r="B22" s="7" t="s">
        <v>30</v>
      </c>
      <c r="C22" s="28" t="str">
        <f t="shared" si="0"/>
        <v>2.25</v>
      </c>
      <c r="D22" s="80">
        <v>3</v>
      </c>
      <c r="E22" s="103">
        <f>Five_Semester_SGPA[[#This Row],[Statistics-I]]*Five_Semester_SGPA[[#This Row],[Statistics-I Credit]]</f>
        <v>6.75</v>
      </c>
      <c r="F22" s="28" t="str">
        <f t="shared" si="1"/>
        <v>0.00</v>
      </c>
      <c r="G22" s="80">
        <v>3</v>
      </c>
      <c r="H22" s="103">
        <f>Five_Semester_SGPA[[#This Row],[Financial Management System]]*Five_Semester_SGPA[[#This Row],[Financial Management System Credit]]</f>
        <v>0</v>
      </c>
      <c r="I22" s="28" t="str">
        <f t="shared" si="2"/>
        <v>0.00</v>
      </c>
      <c r="J22" s="80">
        <v>3</v>
      </c>
      <c r="K22" s="103">
        <f>Five_Semester_SGPA[[#This Row],[Database Management System]]*Five_Semester_SGPA[[#This Row],[Database Management System Credit]]</f>
        <v>0</v>
      </c>
      <c r="L22" s="103">
        <f>SUM(Five_Semester_SGPA[[#This Row],[Statistics-I (Total Grade + Credit)]]+Five_Semester_SGPA[[#This Row],[Financial Management System (Total Grade + Credit)]]+Five_Semester_SGPA[[#This Row],[Database Management System (Total Grade + Credit)]])</f>
        <v>6.75</v>
      </c>
      <c r="M22" s="80">
        <f>SUM(Five_Semester_SGPA[[#This Row],[Statistics-I Credit]]+Five_Semester_SGPA[[#This Row],[Financial Management System Credit]]+Five_Semester_SGPA[[#This Row],[Database Management System Credit]])</f>
        <v>9</v>
      </c>
      <c r="N22" s="28">
        <f>Five_Semester_SGPA[[#This Row],[Total Subject (Total Grade + Credit)]]/Five_Semester_SGPA[[#This Row],[Total Subject Credit]]</f>
        <v>0.75</v>
      </c>
    </row>
    <row r="23" spans="1:14" x14ac:dyDescent="0.25">
      <c r="A23" s="208" t="s">
        <v>5</v>
      </c>
      <c r="B23" s="207" t="s">
        <v>31</v>
      </c>
      <c r="C23" s="209"/>
      <c r="D23" s="208"/>
      <c r="E23" s="208"/>
      <c r="F23" s="209"/>
      <c r="G23" s="208"/>
      <c r="H23" s="208"/>
      <c r="I23" s="209"/>
      <c r="J23" s="208"/>
      <c r="K23" s="208"/>
      <c r="L23" s="208"/>
      <c r="M23" s="208"/>
      <c r="N23" s="209"/>
    </row>
    <row r="24" spans="1:14" x14ac:dyDescent="0.25">
      <c r="A24" s="80" t="s">
        <v>6</v>
      </c>
      <c r="B24" s="7" t="s">
        <v>32</v>
      </c>
      <c r="C24" s="28" t="str">
        <f t="shared" si="0"/>
        <v>3.50</v>
      </c>
      <c r="D24" s="80">
        <v>3</v>
      </c>
      <c r="E24" s="103">
        <f>Five_Semester_SGPA[[#This Row],[Statistics-I]]*Five_Semester_SGPA[[#This Row],[Statistics-I Credit]]</f>
        <v>10.5</v>
      </c>
      <c r="F24" s="28" t="str">
        <f t="shared" si="1"/>
        <v>3.50</v>
      </c>
      <c r="G24" s="80">
        <v>3</v>
      </c>
      <c r="H24" s="103">
        <f>Five_Semester_SGPA[[#This Row],[Financial Management System]]*Five_Semester_SGPA[[#This Row],[Financial Management System Credit]]</f>
        <v>10.5</v>
      </c>
      <c r="I24" s="28" t="str">
        <f t="shared" si="2"/>
        <v>2.00</v>
      </c>
      <c r="J24" s="80">
        <v>3</v>
      </c>
      <c r="K24" s="103">
        <f>Five_Semester_SGPA[[#This Row],[Database Management System]]*Five_Semester_SGPA[[#This Row],[Database Management System Credit]]</f>
        <v>6</v>
      </c>
      <c r="L24" s="103">
        <f>SUM(Five_Semester_SGPA[[#This Row],[Statistics-I (Total Grade + Credit)]]+Five_Semester_SGPA[[#This Row],[Financial Management System (Total Grade + Credit)]]+Five_Semester_SGPA[[#This Row],[Database Management System (Total Grade + Credit)]])</f>
        <v>27</v>
      </c>
      <c r="M24" s="80">
        <f>SUM(Five_Semester_SGPA[[#This Row],[Statistics-I Credit]]+Five_Semester_SGPA[[#This Row],[Financial Management System Credit]]+Five_Semester_SGPA[[#This Row],[Database Management System Credit]])</f>
        <v>9</v>
      </c>
      <c r="N24" s="28">
        <f>Five_Semester_SGPA[[#This Row],[Total Subject (Total Grade + Credit)]]/Five_Semester_SGPA[[#This Row],[Total Subject Credit]]</f>
        <v>3</v>
      </c>
    </row>
    <row r="25" spans="1:14" x14ac:dyDescent="0.25">
      <c r="A25" s="80" t="s">
        <v>7</v>
      </c>
      <c r="B25" s="7" t="s">
        <v>33</v>
      </c>
      <c r="C25" s="28" t="str">
        <f t="shared" si="0"/>
        <v>2.75</v>
      </c>
      <c r="D25" s="80">
        <v>3</v>
      </c>
      <c r="E25" s="103">
        <f>Five_Semester_SGPA[[#This Row],[Statistics-I]]*Five_Semester_SGPA[[#This Row],[Statistics-I Credit]]</f>
        <v>8.25</v>
      </c>
      <c r="F25" s="28" t="str">
        <f t="shared" si="1"/>
        <v>3.25</v>
      </c>
      <c r="G25" s="80">
        <v>3</v>
      </c>
      <c r="H25" s="103">
        <f>Five_Semester_SGPA[[#This Row],[Financial Management System]]*Five_Semester_SGPA[[#This Row],[Financial Management System Credit]]</f>
        <v>9.75</v>
      </c>
      <c r="I25" s="28" t="str">
        <f t="shared" si="2"/>
        <v>0.00</v>
      </c>
      <c r="J25" s="80">
        <v>3</v>
      </c>
      <c r="K25" s="103">
        <f>Five_Semester_SGPA[[#This Row],[Database Management System]]*Five_Semester_SGPA[[#This Row],[Database Management System Credit]]</f>
        <v>0</v>
      </c>
      <c r="L25" s="103">
        <f>SUM(Five_Semester_SGPA[[#This Row],[Statistics-I (Total Grade + Credit)]]+Five_Semester_SGPA[[#This Row],[Financial Management System (Total Grade + Credit)]]+Five_Semester_SGPA[[#This Row],[Database Management System (Total Grade + Credit)]])</f>
        <v>18</v>
      </c>
      <c r="M25" s="80">
        <f>SUM(Five_Semester_SGPA[[#This Row],[Statistics-I Credit]]+Five_Semester_SGPA[[#This Row],[Financial Management System Credit]]+Five_Semester_SGPA[[#This Row],[Database Management System Credit]])</f>
        <v>9</v>
      </c>
      <c r="N25" s="28">
        <f>Five_Semester_SGPA[[#This Row],[Total Subject (Total Grade + Credit)]]/Five_Semester_SGPA[[#This Row],[Total Subject Credit]]</f>
        <v>2</v>
      </c>
    </row>
    <row r="26" spans="1:14" x14ac:dyDescent="0.25">
      <c r="A26" s="80" t="s">
        <v>8</v>
      </c>
      <c r="B26" s="7" t="s">
        <v>34</v>
      </c>
      <c r="C26" s="28" t="str">
        <f t="shared" si="0"/>
        <v>0.00</v>
      </c>
      <c r="D26" s="80">
        <v>3</v>
      </c>
      <c r="E26" s="103">
        <f>Five_Semester_SGPA[[#This Row],[Statistics-I]]*Five_Semester_SGPA[[#This Row],[Statistics-I Credit]]</f>
        <v>0</v>
      </c>
      <c r="F26" s="28" t="str">
        <f t="shared" si="1"/>
        <v>2.50</v>
      </c>
      <c r="G26" s="80">
        <v>3</v>
      </c>
      <c r="H26" s="103">
        <f>Five_Semester_SGPA[[#This Row],[Financial Management System]]*Five_Semester_SGPA[[#This Row],[Financial Management System Credit]]</f>
        <v>7.5</v>
      </c>
      <c r="I26" s="28" t="str">
        <f t="shared" si="2"/>
        <v>4.00</v>
      </c>
      <c r="J26" s="80">
        <v>3</v>
      </c>
      <c r="K26" s="103">
        <f>Five_Semester_SGPA[[#This Row],[Database Management System]]*Five_Semester_SGPA[[#This Row],[Database Management System Credit]]</f>
        <v>12</v>
      </c>
      <c r="L26" s="103">
        <f>SUM(Five_Semester_SGPA[[#This Row],[Statistics-I (Total Grade + Credit)]]+Five_Semester_SGPA[[#This Row],[Financial Management System (Total Grade + Credit)]]+Five_Semester_SGPA[[#This Row],[Database Management System (Total Grade + Credit)]])</f>
        <v>19.5</v>
      </c>
      <c r="M26" s="80">
        <f>SUM(Five_Semester_SGPA[[#This Row],[Statistics-I Credit]]+Five_Semester_SGPA[[#This Row],[Financial Management System Credit]]+Five_Semester_SGPA[[#This Row],[Database Management System Credit]])</f>
        <v>9</v>
      </c>
      <c r="N26" s="28">
        <f>Five_Semester_SGPA[[#This Row],[Total Subject (Total Grade + Credit)]]/Five_Semester_SGPA[[#This Row],[Total Subject Credit]]</f>
        <v>2.1666666666666665</v>
      </c>
    </row>
    <row r="27" spans="1:14" x14ac:dyDescent="0.25">
      <c r="A27" s="80" t="s">
        <v>9</v>
      </c>
      <c r="B27" s="7" t="s">
        <v>35</v>
      </c>
      <c r="C27" s="28" t="str">
        <f t="shared" si="0"/>
        <v>2.75</v>
      </c>
      <c r="D27" s="80">
        <v>3</v>
      </c>
      <c r="E27" s="103">
        <f>Five_Semester_SGPA[[#This Row],[Statistics-I]]*Five_Semester_SGPA[[#This Row],[Statistics-I Credit]]</f>
        <v>8.25</v>
      </c>
      <c r="F27" s="28" t="str">
        <f t="shared" si="1"/>
        <v>4.00</v>
      </c>
      <c r="G27" s="80">
        <v>3</v>
      </c>
      <c r="H27" s="103">
        <f>Five_Semester_SGPA[[#This Row],[Financial Management System]]*Five_Semester_SGPA[[#This Row],[Financial Management System Credit]]</f>
        <v>12</v>
      </c>
      <c r="I27" s="28" t="str">
        <f t="shared" si="2"/>
        <v>0.00</v>
      </c>
      <c r="J27" s="80">
        <v>3</v>
      </c>
      <c r="K27" s="103">
        <f>Five_Semester_SGPA[[#This Row],[Database Management System]]*Five_Semester_SGPA[[#This Row],[Database Management System Credit]]</f>
        <v>0</v>
      </c>
      <c r="L27" s="103">
        <f>SUM(Five_Semester_SGPA[[#This Row],[Statistics-I (Total Grade + Credit)]]+Five_Semester_SGPA[[#This Row],[Financial Management System (Total Grade + Credit)]]+Five_Semester_SGPA[[#This Row],[Database Management System (Total Grade + Credit)]])</f>
        <v>20.25</v>
      </c>
      <c r="M27" s="80">
        <f>SUM(Five_Semester_SGPA[[#This Row],[Statistics-I Credit]]+Five_Semester_SGPA[[#This Row],[Financial Management System Credit]]+Five_Semester_SGPA[[#This Row],[Database Management System Credit]])</f>
        <v>9</v>
      </c>
      <c r="N27" s="28">
        <f>Five_Semester_SGPA[[#This Row],[Total Subject (Total Grade + Credit)]]/Five_Semester_SGPA[[#This Row],[Total Subject Credit]]</f>
        <v>2.25</v>
      </c>
    </row>
    <row r="28" spans="1:14" x14ac:dyDescent="0.25">
      <c r="A28" s="80" t="s">
        <v>10</v>
      </c>
      <c r="B28" s="7" t="s">
        <v>36</v>
      </c>
      <c r="C28" s="28" t="str">
        <f t="shared" si="0"/>
        <v>2.25</v>
      </c>
      <c r="D28" s="80">
        <v>3</v>
      </c>
      <c r="E28" s="103">
        <f>Five_Semester_SGPA[[#This Row],[Statistics-I]]*Five_Semester_SGPA[[#This Row],[Statistics-I Credit]]</f>
        <v>6.75</v>
      </c>
      <c r="F28" s="28" t="str">
        <f t="shared" si="1"/>
        <v>2.50</v>
      </c>
      <c r="G28" s="80">
        <v>3</v>
      </c>
      <c r="H28" s="103">
        <f>Five_Semester_SGPA[[#This Row],[Financial Management System]]*Five_Semester_SGPA[[#This Row],[Financial Management System Credit]]</f>
        <v>7.5</v>
      </c>
      <c r="I28" s="28" t="str">
        <f t="shared" si="2"/>
        <v>4.00</v>
      </c>
      <c r="J28" s="80">
        <v>3</v>
      </c>
      <c r="K28" s="103">
        <f>Five_Semester_SGPA[[#This Row],[Database Management System]]*Five_Semester_SGPA[[#This Row],[Database Management System Credit]]</f>
        <v>12</v>
      </c>
      <c r="L28" s="103">
        <f>SUM(Five_Semester_SGPA[[#This Row],[Statistics-I (Total Grade + Credit)]]+Five_Semester_SGPA[[#This Row],[Financial Management System (Total Grade + Credit)]]+Five_Semester_SGPA[[#This Row],[Database Management System (Total Grade + Credit)]])</f>
        <v>26.25</v>
      </c>
      <c r="M28" s="80">
        <f>SUM(Five_Semester_SGPA[[#This Row],[Statistics-I Credit]]+Five_Semester_SGPA[[#This Row],[Financial Management System Credit]]+Five_Semester_SGPA[[#This Row],[Database Management System Credit]])</f>
        <v>9</v>
      </c>
      <c r="N28" s="28">
        <f>Five_Semester_SGPA[[#This Row],[Total Subject (Total Grade + Credit)]]/Five_Semester_SGPA[[#This Row],[Total Subject Credit]]</f>
        <v>2.9166666666666665</v>
      </c>
    </row>
    <row r="29" spans="1:14" x14ac:dyDescent="0.25">
      <c r="A29" s="208" t="s">
        <v>11</v>
      </c>
      <c r="B29" s="207" t="s">
        <v>31</v>
      </c>
      <c r="C29" s="209"/>
      <c r="D29" s="208"/>
      <c r="E29" s="208"/>
      <c r="F29" s="209"/>
      <c r="G29" s="208"/>
      <c r="H29" s="208"/>
      <c r="I29" s="209"/>
      <c r="J29" s="208"/>
      <c r="K29" s="208"/>
      <c r="L29" s="208"/>
      <c r="M29" s="208"/>
      <c r="N29" s="209"/>
    </row>
    <row r="30" spans="1:14" x14ac:dyDescent="0.25">
      <c r="A30" s="80" t="s">
        <v>12</v>
      </c>
      <c r="B30" s="7" t="s">
        <v>37</v>
      </c>
      <c r="C30" s="28" t="str">
        <f t="shared" si="0"/>
        <v>0.00</v>
      </c>
      <c r="D30" s="80">
        <v>3</v>
      </c>
      <c r="E30" s="103">
        <f>Five_Semester_SGPA[[#This Row],[Statistics-I]]*Five_Semester_SGPA[[#This Row],[Statistics-I Credit]]</f>
        <v>0</v>
      </c>
      <c r="F30" s="28" t="str">
        <f t="shared" si="1"/>
        <v>0.00</v>
      </c>
      <c r="G30" s="80">
        <v>3</v>
      </c>
      <c r="H30" s="103">
        <f>Five_Semester_SGPA[[#This Row],[Financial Management System]]*Five_Semester_SGPA[[#This Row],[Financial Management System Credit]]</f>
        <v>0</v>
      </c>
      <c r="I30" s="28" t="str">
        <f t="shared" si="2"/>
        <v>3.00</v>
      </c>
      <c r="J30" s="80">
        <v>3</v>
      </c>
      <c r="K30" s="103">
        <f>Five_Semester_SGPA[[#This Row],[Database Management System]]*Five_Semester_SGPA[[#This Row],[Database Management System Credit]]</f>
        <v>9</v>
      </c>
      <c r="L30" s="103">
        <f>SUM(Five_Semester_SGPA[[#This Row],[Statistics-I (Total Grade + Credit)]]+Five_Semester_SGPA[[#This Row],[Financial Management System (Total Grade + Credit)]]+Five_Semester_SGPA[[#This Row],[Database Management System (Total Grade + Credit)]])</f>
        <v>9</v>
      </c>
      <c r="M30" s="80">
        <f>SUM(Five_Semester_SGPA[[#This Row],[Statistics-I Credit]]+Five_Semester_SGPA[[#This Row],[Financial Management System Credit]]+Five_Semester_SGPA[[#This Row],[Database Management System Credit]])</f>
        <v>9</v>
      </c>
      <c r="N30" s="28">
        <f>Five_Semester_SGPA[[#This Row],[Total Subject (Total Grade + Credit)]]/Five_Semester_SGPA[[#This Row],[Total Subject Credit]]</f>
        <v>1</v>
      </c>
    </row>
    <row r="31" spans="1:14" x14ac:dyDescent="0.25">
      <c r="A31" s="80" t="s">
        <v>13</v>
      </c>
      <c r="B31" s="7" t="s">
        <v>38</v>
      </c>
      <c r="C31" s="28" t="str">
        <f t="shared" si="0"/>
        <v>2.75</v>
      </c>
      <c r="D31" s="80">
        <v>3</v>
      </c>
      <c r="E31" s="103">
        <f>Five_Semester_SGPA[[#This Row],[Statistics-I]]*Five_Semester_SGPA[[#This Row],[Statistics-I Credit]]</f>
        <v>8.25</v>
      </c>
      <c r="F31" s="28" t="str">
        <f t="shared" si="1"/>
        <v>2.25</v>
      </c>
      <c r="G31" s="80">
        <v>3</v>
      </c>
      <c r="H31" s="103">
        <f>Five_Semester_SGPA[[#This Row],[Financial Management System]]*Five_Semester_SGPA[[#This Row],[Financial Management System Credit]]</f>
        <v>6.75</v>
      </c>
      <c r="I31" s="28" t="str">
        <f t="shared" si="2"/>
        <v>2.75</v>
      </c>
      <c r="J31" s="80">
        <v>3</v>
      </c>
      <c r="K31" s="103">
        <f>Five_Semester_SGPA[[#This Row],[Database Management System]]*Five_Semester_SGPA[[#This Row],[Database Management System Credit]]</f>
        <v>8.25</v>
      </c>
      <c r="L31" s="103">
        <f>SUM(Five_Semester_SGPA[[#This Row],[Statistics-I (Total Grade + Credit)]]+Five_Semester_SGPA[[#This Row],[Financial Management System (Total Grade + Credit)]]+Five_Semester_SGPA[[#This Row],[Database Management System (Total Grade + Credit)]])</f>
        <v>23.25</v>
      </c>
      <c r="M31" s="80">
        <f>SUM(Five_Semester_SGPA[[#This Row],[Statistics-I Credit]]+Five_Semester_SGPA[[#This Row],[Financial Management System Credit]]+Five_Semester_SGPA[[#This Row],[Database Management System Credit]])</f>
        <v>9</v>
      </c>
      <c r="N31" s="28">
        <f>Five_Semester_SGPA[[#This Row],[Total Subject (Total Grade + Credit)]]/Five_Semester_SGPA[[#This Row],[Total Subject Credit]]</f>
        <v>2.5833333333333335</v>
      </c>
    </row>
    <row r="32" spans="1:14" x14ac:dyDescent="0.25">
      <c r="A32" s="80" t="s">
        <v>14</v>
      </c>
      <c r="B32" s="7" t="s">
        <v>39</v>
      </c>
      <c r="C32" s="28" t="str">
        <f t="shared" si="0"/>
        <v>0.00</v>
      </c>
      <c r="D32" s="80">
        <v>3</v>
      </c>
      <c r="E32" s="103">
        <f>Five_Semester_SGPA[[#This Row],[Statistics-I]]*Five_Semester_SGPA[[#This Row],[Statistics-I Credit]]</f>
        <v>0</v>
      </c>
      <c r="F32" s="28" t="str">
        <f t="shared" si="1"/>
        <v>0.00</v>
      </c>
      <c r="G32" s="80">
        <v>3</v>
      </c>
      <c r="H32" s="103">
        <f>Five_Semester_SGPA[[#This Row],[Financial Management System]]*Five_Semester_SGPA[[#This Row],[Financial Management System Credit]]</f>
        <v>0</v>
      </c>
      <c r="I32" s="28" t="str">
        <f t="shared" si="2"/>
        <v>0.00</v>
      </c>
      <c r="J32" s="80">
        <v>3</v>
      </c>
      <c r="K32" s="103">
        <f>Five_Semester_SGPA[[#This Row],[Database Management System]]*Five_Semester_SGPA[[#This Row],[Database Management System Credit]]</f>
        <v>0</v>
      </c>
      <c r="L32" s="103">
        <f>SUM(Five_Semester_SGPA[[#This Row],[Statistics-I (Total Grade + Credit)]]+Five_Semester_SGPA[[#This Row],[Financial Management System (Total Grade + Credit)]]+Five_Semester_SGPA[[#This Row],[Database Management System (Total Grade + Credit)]])</f>
        <v>0</v>
      </c>
      <c r="M32" s="80">
        <f>SUM(Five_Semester_SGPA[[#This Row],[Statistics-I Credit]]+Five_Semester_SGPA[[#This Row],[Financial Management System Credit]]+Five_Semester_SGPA[[#This Row],[Database Management System Credit]])</f>
        <v>9</v>
      </c>
      <c r="N32" s="28">
        <f>Five_Semester_SGPA[[#This Row],[Total Subject (Total Grade + Credit)]]/Five_Semester_SGPA[[#This Row],[Total Subject Credit]]</f>
        <v>0</v>
      </c>
    </row>
    <row r="33" spans="1:14" x14ac:dyDescent="0.25">
      <c r="A33" s="80" t="s">
        <v>15</v>
      </c>
      <c r="B33" s="7" t="s">
        <v>40</v>
      </c>
      <c r="C33" s="28" t="str">
        <f t="shared" si="0"/>
        <v>3.50</v>
      </c>
      <c r="D33" s="80">
        <v>3</v>
      </c>
      <c r="E33" s="103">
        <f>Five_Semester_SGPA[[#This Row],[Statistics-I]]*Five_Semester_SGPA[[#This Row],[Statistics-I Credit]]</f>
        <v>10.5</v>
      </c>
      <c r="F33" s="28" t="str">
        <f t="shared" si="1"/>
        <v>3.50</v>
      </c>
      <c r="G33" s="80">
        <v>3</v>
      </c>
      <c r="H33" s="103">
        <f>Five_Semester_SGPA[[#This Row],[Financial Management System]]*Five_Semester_SGPA[[#This Row],[Financial Management System Credit]]</f>
        <v>10.5</v>
      </c>
      <c r="I33" s="28" t="str">
        <f t="shared" si="2"/>
        <v>2.75</v>
      </c>
      <c r="J33" s="80">
        <v>3</v>
      </c>
      <c r="K33" s="103">
        <f>Five_Semester_SGPA[[#This Row],[Database Management System]]*Five_Semester_SGPA[[#This Row],[Database Management System Credit]]</f>
        <v>8.25</v>
      </c>
      <c r="L33" s="103">
        <f>SUM(Five_Semester_SGPA[[#This Row],[Statistics-I (Total Grade + Credit)]]+Five_Semester_SGPA[[#This Row],[Financial Management System (Total Grade + Credit)]]+Five_Semester_SGPA[[#This Row],[Database Management System (Total Grade + Credit)]])</f>
        <v>29.25</v>
      </c>
      <c r="M33" s="80">
        <f>SUM(Five_Semester_SGPA[[#This Row],[Statistics-I Credit]]+Five_Semester_SGPA[[#This Row],[Financial Management System Credit]]+Five_Semester_SGPA[[#This Row],[Database Management System Credit]])</f>
        <v>9</v>
      </c>
      <c r="N33" s="28">
        <f>Five_Semester_SGPA[[#This Row],[Total Subject (Total Grade + Credit)]]/Five_Semester_SGPA[[#This Row],[Total Subject Credit]]</f>
        <v>3.25</v>
      </c>
    </row>
    <row r="34" spans="1:14" x14ac:dyDescent="0.25">
      <c r="A34" s="208" t="s">
        <v>16</v>
      </c>
      <c r="B34" s="207" t="s">
        <v>31</v>
      </c>
      <c r="C34" s="209"/>
      <c r="D34" s="208"/>
      <c r="E34" s="208"/>
      <c r="F34" s="209"/>
      <c r="G34" s="208"/>
      <c r="H34" s="208"/>
      <c r="I34" s="209"/>
      <c r="J34" s="208"/>
      <c r="K34" s="208"/>
      <c r="L34" s="208"/>
      <c r="M34" s="208"/>
      <c r="N34" s="209"/>
    </row>
    <row r="35" spans="1:14" x14ac:dyDescent="0.25">
      <c r="A35" s="80" t="s">
        <v>17</v>
      </c>
      <c r="B35" s="7" t="s">
        <v>41</v>
      </c>
      <c r="C35" s="28" t="str">
        <f t="shared" si="0"/>
        <v>3.25</v>
      </c>
      <c r="D35" s="80">
        <v>3</v>
      </c>
      <c r="E35" s="103">
        <f>Five_Semester_SGPA[[#This Row],[Statistics-I]]*Five_Semester_SGPA[[#This Row],[Statistics-I Credit]]</f>
        <v>9.75</v>
      </c>
      <c r="F35" s="28" t="str">
        <f t="shared" si="1"/>
        <v>2.25</v>
      </c>
      <c r="G35" s="80">
        <v>3</v>
      </c>
      <c r="H35" s="103">
        <f>Five_Semester_SGPA[[#This Row],[Financial Management System]]*Five_Semester_SGPA[[#This Row],[Financial Management System Credit]]</f>
        <v>6.75</v>
      </c>
      <c r="I35" s="28" t="str">
        <f t="shared" si="2"/>
        <v>0.00</v>
      </c>
      <c r="J35" s="80">
        <v>3</v>
      </c>
      <c r="K35" s="103">
        <f>Five_Semester_SGPA[[#This Row],[Database Management System]]*Five_Semester_SGPA[[#This Row],[Database Management System Credit]]</f>
        <v>0</v>
      </c>
      <c r="L35" s="103">
        <f>SUM(Five_Semester_SGPA[[#This Row],[Statistics-I (Total Grade + Credit)]]+Five_Semester_SGPA[[#This Row],[Financial Management System (Total Grade + Credit)]]+Five_Semester_SGPA[[#This Row],[Database Management System (Total Grade + Credit)]])</f>
        <v>16.5</v>
      </c>
      <c r="M35" s="80">
        <f>SUM(Five_Semester_SGPA[[#This Row],[Statistics-I Credit]]+Five_Semester_SGPA[[#This Row],[Financial Management System Credit]]+Five_Semester_SGPA[[#This Row],[Database Management System Credit]])</f>
        <v>9</v>
      </c>
      <c r="N35" s="28">
        <f>Five_Semester_SGPA[[#This Row],[Total Subject (Total Grade + Credit)]]/Five_Semester_SGPA[[#This Row],[Total Subject Credit]]</f>
        <v>1.8333333333333333</v>
      </c>
    </row>
    <row r="36" spans="1:14" x14ac:dyDescent="0.25">
      <c r="A36" s="80" t="s">
        <v>18</v>
      </c>
      <c r="B36" s="7" t="s">
        <v>42</v>
      </c>
      <c r="C36" s="28" t="str">
        <f t="shared" si="0"/>
        <v>2.75</v>
      </c>
      <c r="D36" s="80">
        <v>3</v>
      </c>
      <c r="E36" s="103">
        <f>Five_Semester_SGPA[[#This Row],[Statistics-I]]*Five_Semester_SGPA[[#This Row],[Statistics-I Credit]]</f>
        <v>8.25</v>
      </c>
      <c r="F36" s="28" t="str">
        <f t="shared" si="1"/>
        <v>2.25</v>
      </c>
      <c r="G36" s="80">
        <v>3</v>
      </c>
      <c r="H36" s="103">
        <f>Five_Semester_SGPA[[#This Row],[Financial Management System]]*Five_Semester_SGPA[[#This Row],[Financial Management System Credit]]</f>
        <v>6.75</v>
      </c>
      <c r="I36" s="28" t="str">
        <f t="shared" si="2"/>
        <v>2.25</v>
      </c>
      <c r="J36" s="80">
        <v>3</v>
      </c>
      <c r="K36" s="103">
        <f>Five_Semester_SGPA[[#This Row],[Database Management System]]*Five_Semester_SGPA[[#This Row],[Database Management System Credit]]</f>
        <v>6.75</v>
      </c>
      <c r="L36" s="103">
        <f>SUM(Five_Semester_SGPA[[#This Row],[Statistics-I (Total Grade + Credit)]]+Five_Semester_SGPA[[#This Row],[Financial Management System (Total Grade + Credit)]]+Five_Semester_SGPA[[#This Row],[Database Management System (Total Grade + Credit)]])</f>
        <v>21.75</v>
      </c>
      <c r="M36" s="80">
        <f>SUM(Five_Semester_SGPA[[#This Row],[Statistics-I Credit]]+Five_Semester_SGPA[[#This Row],[Financial Management System Credit]]+Five_Semester_SGPA[[#This Row],[Database Management System Credit]])</f>
        <v>9</v>
      </c>
      <c r="N36" s="28">
        <f>Five_Semester_SGPA[[#This Row],[Total Subject (Total Grade + Credit)]]/Five_Semester_SGPA[[#This Row],[Total Subject Credit]]</f>
        <v>2.4166666666666665</v>
      </c>
    </row>
    <row r="37" spans="1:14" x14ac:dyDescent="0.25">
      <c r="A37" s="80" t="s">
        <v>19</v>
      </c>
      <c r="B37" s="7" t="s">
        <v>43</v>
      </c>
      <c r="C37" s="28" t="str">
        <f t="shared" si="0"/>
        <v>2.75</v>
      </c>
      <c r="D37" s="80">
        <v>3</v>
      </c>
      <c r="E37" s="103">
        <f>Five_Semester_SGPA[[#This Row],[Statistics-I]]*Five_Semester_SGPA[[#This Row],[Statistics-I Credit]]</f>
        <v>8.25</v>
      </c>
      <c r="F37" s="28" t="str">
        <f t="shared" si="1"/>
        <v>2.25</v>
      </c>
      <c r="G37" s="80">
        <v>3</v>
      </c>
      <c r="H37" s="103">
        <f>Five_Semester_SGPA[[#This Row],[Financial Management System]]*Five_Semester_SGPA[[#This Row],[Financial Management System Credit]]</f>
        <v>6.75</v>
      </c>
      <c r="I37" s="28" t="str">
        <f t="shared" si="2"/>
        <v>3.00</v>
      </c>
      <c r="J37" s="80">
        <v>3</v>
      </c>
      <c r="K37" s="103">
        <f>Five_Semester_SGPA[[#This Row],[Database Management System]]*Five_Semester_SGPA[[#This Row],[Database Management System Credit]]</f>
        <v>9</v>
      </c>
      <c r="L37" s="103">
        <f>SUM(Five_Semester_SGPA[[#This Row],[Statistics-I (Total Grade + Credit)]]+Five_Semester_SGPA[[#This Row],[Financial Management System (Total Grade + Credit)]]+Five_Semester_SGPA[[#This Row],[Database Management System (Total Grade + Credit)]])</f>
        <v>24</v>
      </c>
      <c r="M37" s="80">
        <f>SUM(Five_Semester_SGPA[[#This Row],[Statistics-I Credit]]+Five_Semester_SGPA[[#This Row],[Financial Management System Credit]]+Five_Semester_SGPA[[#This Row],[Database Management System Credit]])</f>
        <v>9</v>
      </c>
      <c r="N37" s="28">
        <f>Five_Semester_SGPA[[#This Row],[Total Subject (Total Grade + Credit)]]/Five_Semester_SGPA[[#This Row],[Total Subject Credit]]</f>
        <v>2.6666666666666665</v>
      </c>
    </row>
    <row r="38" spans="1:14" x14ac:dyDescent="0.25">
      <c r="A38" s="80" t="s">
        <v>23</v>
      </c>
      <c r="B38" s="7" t="s">
        <v>44</v>
      </c>
      <c r="C38" s="28" t="str">
        <f t="shared" si="0"/>
        <v>2.50</v>
      </c>
      <c r="D38" s="80">
        <v>3</v>
      </c>
      <c r="E38" s="103">
        <f>Five_Semester_SGPA[[#This Row],[Statistics-I]]*Five_Semester_SGPA[[#This Row],[Statistics-I Credit]]</f>
        <v>7.5</v>
      </c>
      <c r="F38" s="28" t="str">
        <f t="shared" si="1"/>
        <v>3.75</v>
      </c>
      <c r="G38" s="80">
        <v>3</v>
      </c>
      <c r="H38" s="103">
        <f>Five_Semester_SGPA[[#This Row],[Financial Management System]]*Five_Semester_SGPA[[#This Row],[Financial Management System Credit]]</f>
        <v>11.25</v>
      </c>
      <c r="I38" s="28" t="str">
        <f t="shared" si="2"/>
        <v>2.50</v>
      </c>
      <c r="J38" s="80">
        <v>3</v>
      </c>
      <c r="K38" s="103">
        <f>Five_Semester_SGPA[[#This Row],[Database Management System]]*Five_Semester_SGPA[[#This Row],[Database Management System Credit]]</f>
        <v>7.5</v>
      </c>
      <c r="L38" s="103">
        <f>SUM(Five_Semester_SGPA[[#This Row],[Statistics-I (Total Grade + Credit)]]+Five_Semester_SGPA[[#This Row],[Financial Management System (Total Grade + Credit)]]+Five_Semester_SGPA[[#This Row],[Database Management System (Total Grade + Credit)]])</f>
        <v>26.25</v>
      </c>
      <c r="M38" s="80">
        <f>SUM(Five_Semester_SGPA[[#This Row],[Statistics-I Credit]]+Five_Semester_SGPA[[#This Row],[Financial Management System Credit]]+Five_Semester_SGPA[[#This Row],[Database Management System Credit]])</f>
        <v>9</v>
      </c>
      <c r="N38" s="28">
        <f>Five_Semester_SGPA[[#This Row],[Total Subject (Total Grade + Credit)]]/Five_Semester_SGPA[[#This Row],[Total Subject Credit]]</f>
        <v>2.9166666666666665</v>
      </c>
    </row>
    <row r="39" spans="1:14" x14ac:dyDescent="0.25">
      <c r="A39" s="80" t="s">
        <v>24</v>
      </c>
      <c r="B39" s="7" t="s">
        <v>45</v>
      </c>
      <c r="C39" s="28" t="str">
        <f t="shared" si="0"/>
        <v>2.75</v>
      </c>
      <c r="D39" s="80">
        <v>3</v>
      </c>
      <c r="E39" s="103">
        <f>Five_Semester_SGPA[[#This Row],[Statistics-I]]*Five_Semester_SGPA[[#This Row],[Statistics-I Credit]]</f>
        <v>8.25</v>
      </c>
      <c r="F39" s="28" t="str">
        <f t="shared" si="1"/>
        <v>3.00</v>
      </c>
      <c r="G39" s="80">
        <v>3</v>
      </c>
      <c r="H39" s="103">
        <f>Five_Semester_SGPA[[#This Row],[Financial Management System]]*Five_Semester_SGPA[[#This Row],[Financial Management System Credit]]</f>
        <v>9</v>
      </c>
      <c r="I39" s="28" t="str">
        <f t="shared" si="2"/>
        <v>2.75</v>
      </c>
      <c r="J39" s="80">
        <v>3</v>
      </c>
      <c r="K39" s="103">
        <f>Five_Semester_SGPA[[#This Row],[Database Management System]]*Five_Semester_SGPA[[#This Row],[Database Management System Credit]]</f>
        <v>8.25</v>
      </c>
      <c r="L39" s="103">
        <f>SUM(Five_Semester_SGPA[[#This Row],[Statistics-I (Total Grade + Credit)]]+Five_Semester_SGPA[[#This Row],[Financial Management System (Total Grade + Credit)]]+Five_Semester_SGPA[[#This Row],[Database Management System (Total Grade + Credit)]])</f>
        <v>25.5</v>
      </c>
      <c r="M39" s="80">
        <f>SUM(Five_Semester_SGPA[[#This Row],[Statistics-I Credit]]+Five_Semester_SGPA[[#This Row],[Financial Management System Credit]]+Five_Semester_SGPA[[#This Row],[Database Management System Credit]])</f>
        <v>9</v>
      </c>
      <c r="N39" s="28">
        <f>Five_Semester_SGPA[[#This Row],[Total Subject (Total Grade + Credit)]]/Five_Semester_SGPA[[#This Row],[Total Subject Credit]]</f>
        <v>2.8333333333333335</v>
      </c>
    </row>
    <row r="40" spans="1:14" x14ac:dyDescent="0.25">
      <c r="A40" s="80" t="s">
        <v>25</v>
      </c>
      <c r="B40" s="7" t="s">
        <v>46</v>
      </c>
      <c r="C40" s="28" t="str">
        <f t="shared" si="0"/>
        <v>3.50</v>
      </c>
      <c r="D40" s="80">
        <v>3</v>
      </c>
      <c r="E40" s="103">
        <f>Five_Semester_SGPA[[#This Row],[Statistics-I]]*Five_Semester_SGPA[[#This Row],[Statistics-I Credit]]</f>
        <v>10.5</v>
      </c>
      <c r="F40" s="28" t="str">
        <f t="shared" si="1"/>
        <v>4.00</v>
      </c>
      <c r="G40" s="80">
        <v>3</v>
      </c>
      <c r="H40" s="103">
        <f>Five_Semester_SGPA[[#This Row],[Financial Management System]]*Five_Semester_SGPA[[#This Row],[Financial Management System Credit]]</f>
        <v>12</v>
      </c>
      <c r="I40" s="28" t="str">
        <f t="shared" si="2"/>
        <v>3.25</v>
      </c>
      <c r="J40" s="80">
        <v>3</v>
      </c>
      <c r="K40" s="103">
        <f>Five_Semester_SGPA[[#This Row],[Database Management System]]*Five_Semester_SGPA[[#This Row],[Database Management System Credit]]</f>
        <v>9.75</v>
      </c>
      <c r="L40" s="103">
        <f>SUM(Five_Semester_SGPA[[#This Row],[Statistics-I (Total Grade + Credit)]]+Five_Semester_SGPA[[#This Row],[Financial Management System (Total Grade + Credit)]]+Five_Semester_SGPA[[#This Row],[Database Management System (Total Grade + Credit)]])</f>
        <v>32.25</v>
      </c>
      <c r="M40" s="80">
        <f>SUM(Five_Semester_SGPA[[#This Row],[Statistics-I Credit]]+Five_Semester_SGPA[[#This Row],[Financial Management System Credit]]+Five_Semester_SGPA[[#This Row],[Database Management System Credit]])</f>
        <v>9</v>
      </c>
      <c r="N40" s="28">
        <f>Five_Semester_SGPA[[#This Row],[Total Subject (Total Grade + Credit)]]/Five_Semester_SGPA[[#This Row],[Total Subject Credit]]</f>
        <v>3.5833333333333335</v>
      </c>
    </row>
    <row r="41" spans="1:14" x14ac:dyDescent="0.25">
      <c r="A41" s="80" t="s">
        <v>26</v>
      </c>
      <c r="B41" s="7" t="s">
        <v>47</v>
      </c>
      <c r="C41" s="28" t="str">
        <f t="shared" si="0"/>
        <v>2.50</v>
      </c>
      <c r="D41" s="80">
        <v>3</v>
      </c>
      <c r="E41" s="103">
        <f>Five_Semester_SGPA[[#This Row],[Statistics-I]]*Five_Semester_SGPA[[#This Row],[Statistics-I Credit]]</f>
        <v>7.5</v>
      </c>
      <c r="F41" s="28" t="str">
        <f t="shared" si="1"/>
        <v>0.00</v>
      </c>
      <c r="G41" s="80">
        <v>3</v>
      </c>
      <c r="H41" s="103">
        <f>Five_Semester_SGPA[[#This Row],[Financial Management System]]*Five_Semester_SGPA[[#This Row],[Financial Management System Credit]]</f>
        <v>0</v>
      </c>
      <c r="I41" s="28" t="str">
        <f t="shared" si="2"/>
        <v>3.25</v>
      </c>
      <c r="J41" s="80">
        <v>3</v>
      </c>
      <c r="K41" s="103">
        <f>Five_Semester_SGPA[[#This Row],[Database Management System]]*Five_Semester_SGPA[[#This Row],[Database Management System Credit]]</f>
        <v>9.75</v>
      </c>
      <c r="L41" s="103">
        <f>SUM(Five_Semester_SGPA[[#This Row],[Statistics-I (Total Grade + Credit)]]+Five_Semester_SGPA[[#This Row],[Financial Management System (Total Grade + Credit)]]+Five_Semester_SGPA[[#This Row],[Database Management System (Total Grade + Credit)]])</f>
        <v>17.25</v>
      </c>
      <c r="M41" s="80">
        <f>SUM(Five_Semester_SGPA[[#This Row],[Statistics-I Credit]]+Five_Semester_SGPA[[#This Row],[Financial Management System Credit]]+Five_Semester_SGPA[[#This Row],[Database Management System Credit]])</f>
        <v>9</v>
      </c>
      <c r="N41" s="28">
        <f>Five_Semester_SGPA[[#This Row],[Total Subject (Total Grade + Credit)]]/Five_Semester_SGPA[[#This Row],[Total Subject Credit]]</f>
        <v>1.9166666666666667</v>
      </c>
    </row>
    <row r="42" spans="1:14" x14ac:dyDescent="0.25">
      <c r="A42" s="80" t="s">
        <v>50</v>
      </c>
      <c r="B42" s="7" t="s">
        <v>51</v>
      </c>
      <c r="C42" s="28" t="str">
        <f t="shared" si="0"/>
        <v>3.00</v>
      </c>
      <c r="D42" s="80">
        <v>3</v>
      </c>
      <c r="E42" s="103">
        <f>Five_Semester_SGPA[[#This Row],[Statistics-I]]*Five_Semester_SGPA[[#This Row],[Statistics-I Credit]]</f>
        <v>9</v>
      </c>
      <c r="F42" s="28" t="str">
        <f t="shared" si="1"/>
        <v>2.00</v>
      </c>
      <c r="G42" s="80">
        <v>3</v>
      </c>
      <c r="H42" s="103">
        <f>Five_Semester_SGPA[[#This Row],[Financial Management System]]*Five_Semester_SGPA[[#This Row],[Financial Management System Credit]]</f>
        <v>6</v>
      </c>
      <c r="I42" s="28" t="str">
        <f t="shared" si="2"/>
        <v>0.00</v>
      </c>
      <c r="J42" s="80">
        <v>3</v>
      </c>
      <c r="K42" s="103">
        <f>Five_Semester_SGPA[[#This Row],[Database Management System]]*Five_Semester_SGPA[[#This Row],[Database Management System Credit]]</f>
        <v>0</v>
      </c>
      <c r="L42" s="103">
        <f>SUM(Five_Semester_SGPA[[#This Row],[Statistics-I (Total Grade + Credit)]]+Five_Semester_SGPA[[#This Row],[Financial Management System (Total Grade + Credit)]]+Five_Semester_SGPA[[#This Row],[Database Management System (Total Grade + Credit)]])</f>
        <v>15</v>
      </c>
      <c r="M42" s="80">
        <f>SUM(Five_Semester_SGPA[[#This Row],[Statistics-I Credit]]+Five_Semester_SGPA[[#This Row],[Financial Management System Credit]]+Five_Semester_SGPA[[#This Row],[Database Management System Credit]])</f>
        <v>9</v>
      </c>
      <c r="N42" s="28">
        <f>Five_Semester_SGPA[[#This Row],[Total Subject (Total Grade + Credit)]]/Five_Semester_SGPA[[#This Row],[Total Subject Credit]]</f>
        <v>1.6666666666666667</v>
      </c>
    </row>
    <row r="43" spans="1:14" x14ac:dyDescent="0.25">
      <c r="A43" s="80" t="s">
        <v>53</v>
      </c>
      <c r="B43" s="7" t="s">
        <v>54</v>
      </c>
      <c r="C43" s="28" t="str">
        <f t="shared" si="0"/>
        <v>2.75</v>
      </c>
      <c r="D43" s="80">
        <v>3</v>
      </c>
      <c r="E43" s="103">
        <f>Five_Semester_SGPA[[#This Row],[Statistics-I]]*Five_Semester_SGPA[[#This Row],[Statistics-I Credit]]</f>
        <v>8.25</v>
      </c>
      <c r="F43" s="28" t="str">
        <f t="shared" si="1"/>
        <v>0.00</v>
      </c>
      <c r="G43" s="80">
        <v>3</v>
      </c>
      <c r="H43" s="103">
        <f>Five_Semester_SGPA[[#This Row],[Financial Management System]]*Five_Semester_SGPA[[#This Row],[Financial Management System Credit]]</f>
        <v>0</v>
      </c>
      <c r="I43" s="28" t="str">
        <f t="shared" si="2"/>
        <v>3.00</v>
      </c>
      <c r="J43" s="80">
        <v>3</v>
      </c>
      <c r="K43" s="103">
        <f>Five_Semester_SGPA[[#This Row],[Database Management System]]*Five_Semester_SGPA[[#This Row],[Database Management System Credit]]</f>
        <v>9</v>
      </c>
      <c r="L43" s="103">
        <f>SUM(Five_Semester_SGPA[[#This Row],[Statistics-I (Total Grade + Credit)]]+Five_Semester_SGPA[[#This Row],[Financial Management System (Total Grade + Credit)]]+Five_Semester_SGPA[[#This Row],[Database Management System (Total Grade + Credit)]])</f>
        <v>17.25</v>
      </c>
      <c r="M43" s="80">
        <f>SUM(Five_Semester_SGPA[[#This Row],[Statistics-I Credit]]+Five_Semester_SGPA[[#This Row],[Financial Management System Credit]]+Five_Semester_SGPA[[#This Row],[Database Management System Credit]])</f>
        <v>9</v>
      </c>
      <c r="N43" s="28">
        <f>Five_Semester_SGPA[[#This Row],[Total Subject (Total Grade + Credit)]]/Five_Semester_SGPA[[#This Row],[Total Subject Credit]]</f>
        <v>1.9166666666666667</v>
      </c>
    </row>
    <row r="44" spans="1:14" x14ac:dyDescent="0.25">
      <c r="A44" s="80" t="s">
        <v>60</v>
      </c>
      <c r="B44" s="7" t="s">
        <v>61</v>
      </c>
      <c r="C44" s="28" t="str">
        <f t="shared" si="0"/>
        <v>3.25</v>
      </c>
      <c r="D44" s="80">
        <v>3</v>
      </c>
      <c r="E44" s="103">
        <f>Five_Semester_SGPA[[#This Row],[Statistics-I]]*Five_Semester_SGPA[[#This Row],[Statistics-I Credit]]</f>
        <v>9.75</v>
      </c>
      <c r="F44" s="28" t="str">
        <f t="shared" si="1"/>
        <v>0.00</v>
      </c>
      <c r="G44" s="80">
        <v>3</v>
      </c>
      <c r="H44" s="103">
        <f>Five_Semester_SGPA[[#This Row],[Financial Management System]]*Five_Semester_SGPA[[#This Row],[Financial Management System Credit]]</f>
        <v>0</v>
      </c>
      <c r="I44" s="28" t="str">
        <f t="shared" si="2"/>
        <v>3.75</v>
      </c>
      <c r="J44" s="80">
        <v>3</v>
      </c>
      <c r="K44" s="103">
        <f>Five_Semester_SGPA[[#This Row],[Database Management System]]*Five_Semester_SGPA[[#This Row],[Database Management System Credit]]</f>
        <v>11.25</v>
      </c>
      <c r="L44" s="103">
        <f>SUM(Five_Semester_SGPA[[#This Row],[Statistics-I (Total Grade + Credit)]]+Five_Semester_SGPA[[#This Row],[Financial Management System (Total Grade + Credit)]]+Five_Semester_SGPA[[#This Row],[Database Management System (Total Grade + Credit)]])</f>
        <v>21</v>
      </c>
      <c r="M44" s="80">
        <f>SUM(Five_Semester_SGPA[[#This Row],[Statistics-I Credit]]+Five_Semester_SGPA[[#This Row],[Financial Management System Credit]]+Five_Semester_SGPA[[#This Row],[Database Management System Credit]])</f>
        <v>9</v>
      </c>
      <c r="N44" s="28">
        <f>Five_Semester_SGPA[[#This Row],[Total Subject (Total Grade + Credit)]]/Five_Semester_SGPA[[#This Row],[Total Subject Credit]]</f>
        <v>2.3333333333333335</v>
      </c>
    </row>
    <row r="56" spans="1:20" x14ac:dyDescent="0.25">
      <c r="R56" s="9"/>
      <c r="S56" s="9"/>
    </row>
    <row r="57" spans="1:20" x14ac:dyDescent="0.25">
      <c r="R57" s="9"/>
      <c r="S57" s="9"/>
    </row>
    <row r="58" spans="1:20" x14ac:dyDescent="0.25">
      <c r="R58" s="9"/>
      <c r="S58" s="9"/>
    </row>
    <row r="59" spans="1:20" ht="15" customHeight="1" x14ac:dyDescent="0.25">
      <c r="A59" s="67"/>
      <c r="B59" s="67"/>
      <c r="C59" s="67"/>
      <c r="D59" s="67"/>
      <c r="E59" s="67"/>
      <c r="F59" s="67"/>
      <c r="G59" s="67"/>
      <c r="H59" s="67"/>
      <c r="I59" s="67"/>
      <c r="J59" s="67"/>
      <c r="K59" s="67"/>
      <c r="L59" s="67"/>
      <c r="M59" s="67"/>
      <c r="N59" s="67"/>
      <c r="O59" s="67"/>
      <c r="P59" s="67"/>
      <c r="Q59" s="67"/>
      <c r="R59" s="67"/>
      <c r="S59" s="67"/>
      <c r="T59" s="67"/>
    </row>
    <row r="60" spans="1:20" s="58" customFormat="1" ht="27" customHeight="1" x14ac:dyDescent="0.25">
      <c r="A60" s="293" t="s">
        <v>163</v>
      </c>
      <c r="B60" s="293"/>
      <c r="C60" s="56" t="s">
        <v>165</v>
      </c>
      <c r="D60" s="56"/>
      <c r="E60" s="56"/>
      <c r="F60" s="294" t="s">
        <v>331</v>
      </c>
      <c r="G60" s="294"/>
      <c r="H60" s="294"/>
      <c r="I60" s="294"/>
      <c r="J60" s="294"/>
      <c r="K60" s="294"/>
      <c r="L60" s="294"/>
      <c r="M60" s="56"/>
      <c r="N60" s="56"/>
      <c r="O60" s="56"/>
      <c r="P60" s="56"/>
      <c r="Q60" s="56"/>
      <c r="R60" s="56"/>
      <c r="S60" s="64" t="s">
        <v>167</v>
      </c>
      <c r="T60" s="65">
        <v>44801</v>
      </c>
    </row>
    <row r="61" spans="1:20" ht="27" customHeight="1" thickBot="1" x14ac:dyDescent="0.3">
      <c r="A61" s="296" t="s">
        <v>164</v>
      </c>
      <c r="B61" s="296"/>
      <c r="C61" s="63" t="s">
        <v>166</v>
      </c>
      <c r="D61" s="63"/>
      <c r="E61" s="62"/>
      <c r="F61" s="295"/>
      <c r="G61" s="295"/>
      <c r="H61" s="295"/>
      <c r="I61" s="295"/>
      <c r="J61" s="295"/>
      <c r="K61" s="295"/>
      <c r="L61" s="295"/>
      <c r="M61" s="32"/>
      <c r="N61" s="32"/>
      <c r="O61" s="32"/>
      <c r="P61" s="32"/>
      <c r="Q61" s="32"/>
      <c r="R61" s="32"/>
      <c r="S61" s="61" t="s">
        <v>168</v>
      </c>
      <c r="T61" s="66">
        <v>0.91666666666666663</v>
      </c>
    </row>
    <row r="62" spans="1:20" x14ac:dyDescent="0.25">
      <c r="A62" s="58" t="s">
        <v>0</v>
      </c>
      <c r="B62" s="57" t="s">
        <v>20</v>
      </c>
      <c r="C62" s="98" t="s">
        <v>132</v>
      </c>
      <c r="D62" s="80" t="s">
        <v>133</v>
      </c>
      <c r="E62" s="80" t="s">
        <v>134</v>
      </c>
      <c r="F62" s="80" t="s">
        <v>135</v>
      </c>
      <c r="G62" s="27" t="s">
        <v>136</v>
      </c>
      <c r="H62" s="80" t="s">
        <v>137</v>
      </c>
      <c r="I62" s="80" t="s">
        <v>138</v>
      </c>
      <c r="J62" s="80" t="s">
        <v>139</v>
      </c>
      <c r="K62" s="103" t="s">
        <v>140</v>
      </c>
      <c r="L62" s="60" t="s">
        <v>141</v>
      </c>
      <c r="M62" s="80" t="s">
        <v>143</v>
      </c>
      <c r="N62" s="98" t="s">
        <v>144</v>
      </c>
      <c r="O62" s="7" t="s">
        <v>145</v>
      </c>
      <c r="P62" s="33" t="s">
        <v>146</v>
      </c>
      <c r="Q62" s="48" t="s">
        <v>147</v>
      </c>
      <c r="R62" s="48" t="s">
        <v>148</v>
      </c>
      <c r="S62" s="48" t="s">
        <v>149</v>
      </c>
      <c r="T62" s="60" t="s">
        <v>150</v>
      </c>
    </row>
    <row r="63" spans="1:20" s="21" customFormat="1" x14ac:dyDescent="0.25">
      <c r="A63" s="15"/>
      <c r="B63" s="49" t="s">
        <v>142</v>
      </c>
      <c r="C63" s="50">
        <v>15</v>
      </c>
      <c r="D63" s="50">
        <v>15</v>
      </c>
      <c r="E63" s="50">
        <v>15</v>
      </c>
      <c r="F63" s="51">
        <v>15</v>
      </c>
      <c r="G63" s="52">
        <v>15</v>
      </c>
      <c r="H63" s="50">
        <v>5</v>
      </c>
      <c r="I63" s="50">
        <v>8</v>
      </c>
      <c r="J63" s="50">
        <v>7</v>
      </c>
      <c r="K63" s="51">
        <v>20</v>
      </c>
      <c r="L63" s="52">
        <v>20</v>
      </c>
      <c r="M63" s="50">
        <v>25</v>
      </c>
      <c r="N63" s="50">
        <v>40</v>
      </c>
      <c r="O63" s="53">
        <v>65</v>
      </c>
      <c r="P63" s="54">
        <v>65</v>
      </c>
      <c r="Q63" s="55">
        <v>100</v>
      </c>
      <c r="R63" s="55" t="s">
        <v>151</v>
      </c>
      <c r="S63" s="54" t="s">
        <v>152</v>
      </c>
      <c r="T63" s="54" t="s">
        <v>153</v>
      </c>
    </row>
    <row r="64" spans="1:20" x14ac:dyDescent="0.25">
      <c r="A64" s="1" t="s">
        <v>57</v>
      </c>
      <c r="B64" s="29" t="s">
        <v>58</v>
      </c>
      <c r="C64" s="28">
        <v>4.333333333333333</v>
      </c>
      <c r="D64" s="28">
        <v>1.6666666666666667</v>
      </c>
      <c r="E64" s="28">
        <v>13.333333333333334</v>
      </c>
      <c r="F64" s="28">
        <f>(((SUM(Five_Semester_Statistics_I[[#This Row],[Quiz 1]:[Quiz 3]]))/SUM($C$63:$E$63))*$F$63)</f>
        <v>6.4444444444444455</v>
      </c>
      <c r="G64" s="27">
        <f>ROUND(Five_Semester_Statistics_I[[#This Row],[Quiz Average]],0)</f>
        <v>6</v>
      </c>
      <c r="H64" s="31">
        <v>4</v>
      </c>
      <c r="I64" s="31">
        <v>7</v>
      </c>
      <c r="J64" s="31">
        <v>2</v>
      </c>
      <c r="K64" s="80">
        <f>SUM(Five_Semester_Statistics_I[[#This Row],[Assignment]:[Attendance]])</f>
        <v>13</v>
      </c>
      <c r="L64" s="27">
        <f>ROUND(Five_Semester_Statistics_I[[#This Row],[Total out of APA]],0)</f>
        <v>13</v>
      </c>
      <c r="M64" s="28">
        <v>25</v>
      </c>
      <c r="N64" s="28">
        <v>37</v>
      </c>
      <c r="O64" s="28">
        <f>SUM(Five_Semester_Statistics_I[[#This Row],[Midterm]:[Final]])</f>
        <v>62</v>
      </c>
      <c r="P64" s="42">
        <f>ROUND(Five_Semester_Statistics_I[[#This Row],[Mid &amp; Final]],0)</f>
        <v>62</v>
      </c>
      <c r="Q64" s="42">
        <f>SUM(G64,L64,P64)</f>
        <v>81</v>
      </c>
      <c r="R64" s="46" t="str">
        <f>IF(Q64&gt;79,"A+",IF(Q64&gt;74,"A",IF(Q64&gt;69,"A-",IF(Q64&gt;64,"B+",IF(Q64&gt;59,"B",IF(Q64&gt;54,"B-",IF(Q64&gt;49,"C+",IF(Q64&gt;44,"C",IF(Q64&gt;39,"D",IF(Q64&gt;0,"F","N/A"))))))))))</f>
        <v>A+</v>
      </c>
      <c r="S64" s="44" t="str">
        <f>IF(Q64&gt;79,"4.00",IF(Q64&gt;74,"3.75",IF(Q64&gt;69,"3.50",IF(Q64&gt;64,"3.25",IF(Q64&gt;59,"3.00",IF(Q64&gt;54,"2.75",IF(Q64&gt;49,"2.50",IF(Q64&gt;44,"2.25",IF(Q64&gt;39,"2.00",IF(Q64&gt;0,"0.00","N/A"))))))))))</f>
        <v>4.00</v>
      </c>
      <c r="T64" s="34" t="str">
        <f>IF(Q64&gt;79,"Outstanding",IF(Q64&gt;74,"Excellent",IF(Q64&gt;69,"Very Good",IF(Q64&gt;64,"Good",IF(Q64&gt;59,"Satisfactory",IF(Q64&gt;54,"Above Average",IF(Q64&gt;49,"Average",IF(Q64&gt;44,"Bellow Average",IF(Q64&gt;39,"Pass",IF(Q64&gt;0,"Fail","N/A"))))))))))</f>
        <v>Outstanding</v>
      </c>
    </row>
    <row r="65" spans="1:22" x14ac:dyDescent="0.25">
      <c r="A65" s="1" t="s">
        <v>56</v>
      </c>
      <c r="B65" s="29" t="s">
        <v>59</v>
      </c>
      <c r="C65" s="28">
        <v>9.6666666666666661</v>
      </c>
      <c r="D65" s="28">
        <v>4.666666666666667</v>
      </c>
      <c r="E65" s="28">
        <v>2.6666666666666665</v>
      </c>
      <c r="F65" s="28">
        <f>(((SUM(Five_Semester_Statistics_I[[#This Row],[Quiz 1]:[Quiz 3]]))/SUM($C$63:$E$63))*$F$63)</f>
        <v>5.6666666666666661</v>
      </c>
      <c r="G65" s="27">
        <f>ROUND(Five_Semester_Statistics_I[[#This Row],[Quiz Average]],0)</f>
        <v>6</v>
      </c>
      <c r="H65" s="31">
        <v>5</v>
      </c>
      <c r="I65" s="31">
        <v>2</v>
      </c>
      <c r="J65" s="31">
        <v>6</v>
      </c>
      <c r="K65" s="80">
        <f>SUM(Five_Semester_Statistics_I[[#This Row],[Assignment]:[Attendance]])</f>
        <v>13</v>
      </c>
      <c r="L65" s="27">
        <f>ROUND(Five_Semester_Statistics_I[[#This Row],[Total out of APA]],0)</f>
        <v>13</v>
      </c>
      <c r="M65" s="28">
        <v>2.5</v>
      </c>
      <c r="N65" s="28">
        <v>24</v>
      </c>
      <c r="O65" s="28">
        <f>SUM(Five_Semester_Statistics_I[[#This Row],[Midterm]:[Final]])</f>
        <v>26.5</v>
      </c>
      <c r="P65" s="42">
        <f>ROUND(Five_Semester_Statistics_I[[#This Row],[Mid &amp; Final]],0)</f>
        <v>27</v>
      </c>
      <c r="Q65" s="42">
        <f t="shared" ref="Q65:Q91" si="3">SUM(G65,L65,P65)</f>
        <v>46</v>
      </c>
      <c r="R65" s="46" t="str">
        <f t="shared" ref="R65:R91" si="4">IF(Q65&gt;79,"A+",IF(Q65&gt;74,"A",IF(Q65&gt;69,"A-",IF(Q65&gt;64,"B+",IF(Q65&gt;59,"B",IF(Q65&gt;54,"B-",IF(Q65&gt;49,"C+",IF(Q65&gt;44,"C",IF(Q65&gt;39,"D",IF(Q65&gt;0,"F","N/A"))))))))))</f>
        <v>C</v>
      </c>
      <c r="S65" s="44" t="str">
        <f t="shared" ref="S65:S91" si="5">IF(Q65&gt;79,"4.00",IF(Q65&gt;74,"3.75",IF(Q65&gt;69,"3.50",IF(Q65&gt;64,"3.25",IF(Q65&gt;59,"3.00",IF(Q65&gt;54,"2.75",IF(Q65&gt;49,"2.50",IF(Q65&gt;44,"2.25",IF(Q65&gt;39,"2.00",IF(Q65&gt;0,"0.00","N/A"))))))))))</f>
        <v>2.25</v>
      </c>
      <c r="T65" s="34" t="str">
        <f t="shared" ref="T65:T91" si="6">IF(Q65&gt;79,"Outstanding",IF(Q65&gt;74,"Excellent",IF(Q65&gt;69,"Very Good",IF(Q65&gt;64,"Good",IF(Q65&gt;59,"Satisfactory",IF(Q65&gt;54,"Above Average",IF(Q65&gt;49,"Average",IF(Q65&gt;44,"Bellow Average",IF(Q65&gt;39,"Pass",IF(Q65&gt;0,"Fail","N/A"))))))))))</f>
        <v>Bellow Average</v>
      </c>
    </row>
    <row r="66" spans="1:22" x14ac:dyDescent="0.25">
      <c r="A66" s="1" t="s">
        <v>1</v>
      </c>
      <c r="B66" s="29" t="s">
        <v>27</v>
      </c>
      <c r="C66" s="28">
        <v>12.333333333333334</v>
      </c>
      <c r="D66" s="28">
        <v>8</v>
      </c>
      <c r="E66" s="28">
        <v>13.666666666666666</v>
      </c>
      <c r="F66" s="28">
        <f>(((SUM(Five_Semester_Statistics_I[[#This Row],[Quiz 1]:[Quiz 3]]))/SUM($C$63:$E$63))*$F$63)</f>
        <v>11.333333333333332</v>
      </c>
      <c r="G66" s="27">
        <f>ROUND(Five_Semester_Statistics_I[[#This Row],[Quiz Average]],0)</f>
        <v>11</v>
      </c>
      <c r="H66" s="31">
        <v>5</v>
      </c>
      <c r="I66" s="31">
        <v>5</v>
      </c>
      <c r="J66" s="31">
        <v>3</v>
      </c>
      <c r="K66" s="80">
        <f>SUM(Five_Semester_Statistics_I[[#This Row],[Assignment]:[Attendance]])</f>
        <v>13</v>
      </c>
      <c r="L66" s="27">
        <f>ROUND(Five_Semester_Statistics_I[[#This Row],[Total out of APA]],0)</f>
        <v>13</v>
      </c>
      <c r="M66" s="28">
        <v>8.5</v>
      </c>
      <c r="N66" s="28">
        <v>15</v>
      </c>
      <c r="O66" s="28">
        <f>SUM(Five_Semester_Statistics_I[[#This Row],[Midterm]:[Final]])</f>
        <v>23.5</v>
      </c>
      <c r="P66" s="42">
        <f>ROUND(Five_Semester_Statistics_I[[#This Row],[Mid &amp; Final]],0)</f>
        <v>24</v>
      </c>
      <c r="Q66" s="42">
        <f t="shared" si="3"/>
        <v>48</v>
      </c>
      <c r="R66" s="46" t="str">
        <f t="shared" si="4"/>
        <v>C</v>
      </c>
      <c r="S66" s="44" t="str">
        <f t="shared" si="5"/>
        <v>2.25</v>
      </c>
      <c r="T66" s="34" t="str">
        <f t="shared" si="6"/>
        <v>Bellow Average</v>
      </c>
    </row>
    <row r="67" spans="1:22" x14ac:dyDescent="0.25">
      <c r="A67" s="1" t="s">
        <v>2</v>
      </c>
      <c r="B67" s="29" t="s">
        <v>28</v>
      </c>
      <c r="C67" s="28">
        <v>9.6666666666666661</v>
      </c>
      <c r="D67" s="28">
        <v>1</v>
      </c>
      <c r="E67" s="28">
        <v>9</v>
      </c>
      <c r="F67" s="28">
        <f>(((SUM(Five_Semester_Statistics_I[[#This Row],[Quiz 1]:[Quiz 3]]))/SUM($C$63:$E$63))*$F$63)</f>
        <v>6.5555555555555554</v>
      </c>
      <c r="G67" s="27">
        <f>ROUND(Five_Semester_Statistics_I[[#This Row],[Quiz Average]],0)</f>
        <v>7</v>
      </c>
      <c r="H67" s="31">
        <v>3</v>
      </c>
      <c r="I67" s="31">
        <v>2</v>
      </c>
      <c r="J67" s="31">
        <v>7</v>
      </c>
      <c r="K67" s="80">
        <f>SUM(Five_Semester_Statistics_I[[#This Row],[Assignment]:[Attendance]])</f>
        <v>12</v>
      </c>
      <c r="L67" s="27">
        <f>ROUND(Five_Semester_Statistics_I[[#This Row],[Total out of APA]],0)</f>
        <v>12</v>
      </c>
      <c r="M67" s="28">
        <v>14</v>
      </c>
      <c r="N67" s="28">
        <v>2</v>
      </c>
      <c r="O67" s="28">
        <f>SUM(Five_Semester_Statistics_I[[#This Row],[Midterm]:[Final]])</f>
        <v>16</v>
      </c>
      <c r="P67" s="42">
        <f>ROUND(Five_Semester_Statistics_I[[#This Row],[Mid &amp; Final]],0)</f>
        <v>16</v>
      </c>
      <c r="Q67" s="42">
        <f t="shared" si="3"/>
        <v>35</v>
      </c>
      <c r="R67" s="46" t="str">
        <f t="shared" si="4"/>
        <v>F</v>
      </c>
      <c r="S67" s="44" t="str">
        <f t="shared" si="5"/>
        <v>0.00</v>
      </c>
      <c r="T67" s="34" t="str">
        <f t="shared" si="6"/>
        <v>Fail</v>
      </c>
    </row>
    <row r="68" spans="1:22" x14ac:dyDescent="0.25">
      <c r="A68" s="1" t="s">
        <v>3</v>
      </c>
      <c r="B68" s="29" t="s">
        <v>29</v>
      </c>
      <c r="C68" s="28">
        <v>11</v>
      </c>
      <c r="D68" s="28">
        <v>6.666666666666667</v>
      </c>
      <c r="E68" s="28">
        <v>6</v>
      </c>
      <c r="F68" s="28">
        <f>(((SUM(Five_Semester_Statistics_I[[#This Row],[Quiz 1]:[Quiz 3]]))/SUM($C$63:$E$63))*$F$63)</f>
        <v>7.8888888888888884</v>
      </c>
      <c r="G68" s="27">
        <f>ROUND(Five_Semester_Statistics_I[[#This Row],[Quiz Average]],0)</f>
        <v>8</v>
      </c>
      <c r="H68" s="31">
        <v>4</v>
      </c>
      <c r="I68" s="31">
        <v>3</v>
      </c>
      <c r="J68" s="31">
        <v>5</v>
      </c>
      <c r="K68" s="80">
        <f>SUM(Five_Semester_Statistics_I[[#This Row],[Assignment]:[Attendance]])</f>
        <v>12</v>
      </c>
      <c r="L68" s="27">
        <f>ROUND(Five_Semester_Statistics_I[[#This Row],[Total out of APA]],0)</f>
        <v>12</v>
      </c>
      <c r="M68" s="28">
        <v>23.5</v>
      </c>
      <c r="N68" s="28">
        <v>15.5</v>
      </c>
      <c r="O68" s="28">
        <f>SUM(Five_Semester_Statistics_I[[#This Row],[Midterm]:[Final]])</f>
        <v>39</v>
      </c>
      <c r="P68" s="42">
        <f>ROUND(Five_Semester_Statistics_I[[#This Row],[Mid &amp; Final]],0)</f>
        <v>39</v>
      </c>
      <c r="Q68" s="42">
        <f t="shared" si="3"/>
        <v>59</v>
      </c>
      <c r="R68" s="46" t="str">
        <f t="shared" si="4"/>
        <v>B-</v>
      </c>
      <c r="S68" s="44" t="str">
        <f t="shared" si="5"/>
        <v>2.75</v>
      </c>
      <c r="T68" s="34" t="str">
        <f t="shared" si="6"/>
        <v>Above Average</v>
      </c>
    </row>
    <row r="69" spans="1:22" x14ac:dyDescent="0.25">
      <c r="A69" s="1" t="s">
        <v>4</v>
      </c>
      <c r="B69" s="29" t="s">
        <v>30</v>
      </c>
      <c r="C69" s="28">
        <v>11</v>
      </c>
      <c r="D69" s="28">
        <v>7.333333333333333</v>
      </c>
      <c r="E69" s="28">
        <v>5.666666666666667</v>
      </c>
      <c r="F69" s="28">
        <f>(((SUM(Five_Semester_Statistics_I[[#This Row],[Quiz 1]:[Quiz 3]]))/SUM($C$63:$E$63))*$F$63)</f>
        <v>8</v>
      </c>
      <c r="G69" s="27">
        <f>ROUND(Five_Semester_Statistics_I[[#This Row],[Quiz Average]],0)</f>
        <v>8</v>
      </c>
      <c r="H69" s="31">
        <v>4</v>
      </c>
      <c r="I69" s="31">
        <v>4</v>
      </c>
      <c r="J69" s="31">
        <v>7</v>
      </c>
      <c r="K69" s="80">
        <f>SUM(Five_Semester_Statistics_I[[#This Row],[Assignment]:[Attendance]])</f>
        <v>15</v>
      </c>
      <c r="L69" s="27">
        <f>ROUND(Five_Semester_Statistics_I[[#This Row],[Total out of APA]],0)</f>
        <v>15</v>
      </c>
      <c r="M69" s="28">
        <v>5</v>
      </c>
      <c r="N69" s="28">
        <v>21</v>
      </c>
      <c r="O69" s="28">
        <f>SUM(Five_Semester_Statistics_I[[#This Row],[Midterm]:[Final]])</f>
        <v>26</v>
      </c>
      <c r="P69" s="42">
        <f>ROUND(Five_Semester_Statistics_I[[#This Row],[Mid &amp; Final]],0)</f>
        <v>26</v>
      </c>
      <c r="Q69" s="42">
        <f t="shared" si="3"/>
        <v>49</v>
      </c>
      <c r="R69" s="46" t="str">
        <f t="shared" si="4"/>
        <v>C</v>
      </c>
      <c r="S69" s="44" t="str">
        <f t="shared" si="5"/>
        <v>2.25</v>
      </c>
      <c r="T69" s="34" t="str">
        <f t="shared" si="6"/>
        <v>Bellow Average</v>
      </c>
    </row>
    <row r="70" spans="1:22" x14ac:dyDescent="0.25">
      <c r="A70" s="6" t="s">
        <v>5</v>
      </c>
      <c r="B70" s="225" t="s">
        <v>31</v>
      </c>
      <c r="C70" s="221"/>
      <c r="D70" s="221"/>
      <c r="E70" s="221"/>
      <c r="F70" s="221"/>
      <c r="G70" s="226"/>
      <c r="H70" s="220"/>
      <c r="I70" s="220"/>
      <c r="J70" s="220"/>
      <c r="K70" s="4"/>
      <c r="L70" s="226"/>
      <c r="M70" s="221"/>
      <c r="N70" s="221"/>
      <c r="O70" s="221"/>
      <c r="P70" s="222"/>
      <c r="Q70" s="222"/>
      <c r="R70" s="223"/>
      <c r="S70" s="224"/>
      <c r="T70" s="219"/>
    </row>
    <row r="71" spans="1:22" x14ac:dyDescent="0.25">
      <c r="A71" s="1" t="s">
        <v>6</v>
      </c>
      <c r="B71" s="29" t="s">
        <v>32</v>
      </c>
      <c r="C71" s="28">
        <v>8</v>
      </c>
      <c r="D71" s="28">
        <v>5</v>
      </c>
      <c r="E71" s="28">
        <v>1</v>
      </c>
      <c r="F71" s="28">
        <f>(((SUM(Five_Semester_Statistics_I[[#This Row],[Quiz 1]:[Quiz 3]]))/SUM($C$63:$E$63))*$F$63)</f>
        <v>4.666666666666667</v>
      </c>
      <c r="G71" s="27">
        <f>ROUND(Five_Semester_Statistics_I[[#This Row],[Quiz Average]],0)</f>
        <v>5</v>
      </c>
      <c r="H71" s="31">
        <v>5</v>
      </c>
      <c r="I71" s="31">
        <v>7</v>
      </c>
      <c r="J71" s="31">
        <v>4</v>
      </c>
      <c r="K71" s="80">
        <f>SUM(Five_Semester_Statistics_I[[#This Row],[Assignment]:[Attendance]])</f>
        <v>16</v>
      </c>
      <c r="L71" s="27">
        <f>ROUND(Five_Semester_Statistics_I[[#This Row],[Total out of APA]],0)</f>
        <v>16</v>
      </c>
      <c r="M71" s="28">
        <v>20.5</v>
      </c>
      <c r="N71" s="28">
        <v>31.5</v>
      </c>
      <c r="O71" s="28">
        <f>SUM(Five_Semester_Statistics_I[[#This Row],[Midterm]:[Final]])</f>
        <v>52</v>
      </c>
      <c r="P71" s="42">
        <f>ROUND(Five_Semester_Statistics_I[[#This Row],[Mid &amp; Final]],0)</f>
        <v>52</v>
      </c>
      <c r="Q71" s="42">
        <f t="shared" si="3"/>
        <v>73</v>
      </c>
      <c r="R71" s="46" t="str">
        <f t="shared" si="4"/>
        <v>A-</v>
      </c>
      <c r="S71" s="44" t="str">
        <f t="shared" si="5"/>
        <v>3.50</v>
      </c>
      <c r="T71" s="34" t="str">
        <f t="shared" si="6"/>
        <v>Very Good</v>
      </c>
    </row>
    <row r="72" spans="1:22" x14ac:dyDescent="0.25">
      <c r="A72" s="1" t="s">
        <v>7</v>
      </c>
      <c r="B72" s="29" t="s">
        <v>33</v>
      </c>
      <c r="C72" s="28">
        <v>6</v>
      </c>
      <c r="D72" s="28">
        <v>6</v>
      </c>
      <c r="E72" s="28">
        <v>13.666666666666666</v>
      </c>
      <c r="F72" s="28">
        <f>(((SUM(Five_Semester_Statistics_I[[#This Row],[Quiz 1]:[Quiz 3]]))/SUM($C$63:$E$63))*$F$63)</f>
        <v>8.5555555555555554</v>
      </c>
      <c r="G72" s="27">
        <f>ROUND(Five_Semester_Statistics_I[[#This Row],[Quiz Average]],0)</f>
        <v>9</v>
      </c>
      <c r="H72" s="31">
        <v>2</v>
      </c>
      <c r="I72" s="31">
        <v>6</v>
      </c>
      <c r="J72" s="31">
        <v>5</v>
      </c>
      <c r="K72" s="80">
        <f>SUM(Five_Semester_Statistics_I[[#This Row],[Assignment]:[Attendance]])</f>
        <v>13</v>
      </c>
      <c r="L72" s="27">
        <f>ROUND(Five_Semester_Statistics_I[[#This Row],[Total out of APA]],0)</f>
        <v>13</v>
      </c>
      <c r="M72" s="28">
        <v>7.5</v>
      </c>
      <c r="N72" s="28">
        <v>29.5</v>
      </c>
      <c r="O72" s="28">
        <f>SUM(Five_Semester_Statistics_I[[#This Row],[Midterm]:[Final]])</f>
        <v>37</v>
      </c>
      <c r="P72" s="42">
        <f>ROUND(Five_Semester_Statistics_I[[#This Row],[Mid &amp; Final]],0)</f>
        <v>37</v>
      </c>
      <c r="Q72" s="42">
        <f t="shared" si="3"/>
        <v>59</v>
      </c>
      <c r="R72" s="46" t="str">
        <f t="shared" si="4"/>
        <v>B-</v>
      </c>
      <c r="S72" s="44" t="str">
        <f t="shared" si="5"/>
        <v>2.75</v>
      </c>
      <c r="T72" s="34" t="str">
        <f t="shared" si="6"/>
        <v>Above Average</v>
      </c>
    </row>
    <row r="73" spans="1:22" x14ac:dyDescent="0.25">
      <c r="A73" s="1" t="s">
        <v>8</v>
      </c>
      <c r="B73" s="29" t="s">
        <v>34</v>
      </c>
      <c r="C73" s="28">
        <v>7.333333333333333</v>
      </c>
      <c r="D73" s="28">
        <v>8</v>
      </c>
      <c r="E73" s="28">
        <v>6.666666666666667</v>
      </c>
      <c r="F73" s="28">
        <f>(((SUM(Five_Semester_Statistics_I[[#This Row],[Quiz 1]:[Quiz 3]]))/SUM($C$63:$E$63))*$F$63)</f>
        <v>7.333333333333333</v>
      </c>
      <c r="G73" s="27">
        <f>ROUND(Five_Semester_Statistics_I[[#This Row],[Quiz Average]],0)</f>
        <v>7</v>
      </c>
      <c r="H73" s="31">
        <v>2</v>
      </c>
      <c r="I73" s="31">
        <v>4</v>
      </c>
      <c r="J73" s="31">
        <v>4</v>
      </c>
      <c r="K73" s="80">
        <f>SUM(Five_Semester_Statistics_I[[#This Row],[Assignment]:[Attendance]])</f>
        <v>10</v>
      </c>
      <c r="L73" s="27">
        <f>ROUND(Five_Semester_Statistics_I[[#This Row],[Total out of APA]],0)</f>
        <v>10</v>
      </c>
      <c r="M73" s="28">
        <v>3.5</v>
      </c>
      <c r="N73" s="28">
        <v>5.5</v>
      </c>
      <c r="O73" s="28">
        <f>SUM(Five_Semester_Statistics_I[[#This Row],[Midterm]:[Final]])</f>
        <v>9</v>
      </c>
      <c r="P73" s="42">
        <f>ROUND(Five_Semester_Statistics_I[[#This Row],[Mid &amp; Final]],0)</f>
        <v>9</v>
      </c>
      <c r="Q73" s="42">
        <f t="shared" si="3"/>
        <v>26</v>
      </c>
      <c r="R73" s="46" t="str">
        <f t="shared" si="4"/>
        <v>F</v>
      </c>
      <c r="S73" s="44" t="str">
        <f t="shared" si="5"/>
        <v>0.00</v>
      </c>
      <c r="T73" s="34" t="str">
        <f t="shared" si="6"/>
        <v>Fail</v>
      </c>
    </row>
    <row r="74" spans="1:22" x14ac:dyDescent="0.25">
      <c r="A74" s="1" t="s">
        <v>9</v>
      </c>
      <c r="B74" s="29" t="s">
        <v>35</v>
      </c>
      <c r="C74" s="28">
        <v>5.666666666666667</v>
      </c>
      <c r="D74" s="28">
        <v>6.666666666666667</v>
      </c>
      <c r="E74" s="28">
        <v>2.3333333333333335</v>
      </c>
      <c r="F74" s="28">
        <f>(((SUM(Five_Semester_Statistics_I[[#This Row],[Quiz 1]:[Quiz 3]]))/SUM($C$63:$E$63))*$F$63)</f>
        <v>4.8888888888888893</v>
      </c>
      <c r="G74" s="27">
        <f>ROUND(Five_Semester_Statistics_I[[#This Row],[Quiz Average]],0)</f>
        <v>5</v>
      </c>
      <c r="H74" s="31">
        <v>2</v>
      </c>
      <c r="I74" s="31">
        <v>2</v>
      </c>
      <c r="J74" s="31">
        <v>2</v>
      </c>
      <c r="K74" s="80">
        <f>SUM(Five_Semester_Statistics_I[[#This Row],[Assignment]:[Attendance]])</f>
        <v>6</v>
      </c>
      <c r="L74" s="27">
        <f>ROUND(Five_Semester_Statistics_I[[#This Row],[Total out of APA]],0)</f>
        <v>6</v>
      </c>
      <c r="M74" s="28">
        <v>21</v>
      </c>
      <c r="N74" s="28">
        <v>23.5</v>
      </c>
      <c r="O74" s="28">
        <f>SUM(Five_Semester_Statistics_I[[#This Row],[Midterm]:[Final]])</f>
        <v>44.5</v>
      </c>
      <c r="P74" s="42">
        <f>ROUND(Five_Semester_Statistics_I[[#This Row],[Mid &amp; Final]],0)</f>
        <v>45</v>
      </c>
      <c r="Q74" s="42">
        <f t="shared" si="3"/>
        <v>56</v>
      </c>
      <c r="R74" s="46" t="str">
        <f t="shared" si="4"/>
        <v>B-</v>
      </c>
      <c r="S74" s="44" t="str">
        <f t="shared" si="5"/>
        <v>2.75</v>
      </c>
      <c r="T74" s="34" t="str">
        <f t="shared" si="6"/>
        <v>Above Average</v>
      </c>
    </row>
    <row r="75" spans="1:22" x14ac:dyDescent="0.25">
      <c r="A75" s="1" t="s">
        <v>10</v>
      </c>
      <c r="B75" s="29" t="s">
        <v>36</v>
      </c>
      <c r="C75" s="28">
        <v>10.666666666666666</v>
      </c>
      <c r="D75" s="28">
        <v>7.666666666666667</v>
      </c>
      <c r="E75" s="28">
        <v>9.6666666666666661</v>
      </c>
      <c r="F75" s="28">
        <f>(((SUM(Five_Semester_Statistics_I[[#This Row],[Quiz 1]:[Quiz 3]]))/SUM($C$63:$E$63))*$F$63)</f>
        <v>9.3333333333333339</v>
      </c>
      <c r="G75" s="27">
        <f>ROUND(Five_Semester_Statistics_I[[#This Row],[Quiz Average]],0)</f>
        <v>9</v>
      </c>
      <c r="H75" s="31">
        <v>4</v>
      </c>
      <c r="I75" s="31">
        <v>6</v>
      </c>
      <c r="J75" s="31">
        <v>4</v>
      </c>
      <c r="K75" s="80">
        <f>SUM(Five_Semester_Statistics_I[[#This Row],[Assignment]:[Attendance]])</f>
        <v>14</v>
      </c>
      <c r="L75" s="27">
        <f>ROUND(Five_Semester_Statistics_I[[#This Row],[Total out of APA]],0)</f>
        <v>14</v>
      </c>
      <c r="M75" s="28">
        <v>5</v>
      </c>
      <c r="N75" s="28">
        <v>18.5</v>
      </c>
      <c r="O75" s="28">
        <f>SUM(Five_Semester_Statistics_I[[#This Row],[Midterm]:[Final]])</f>
        <v>23.5</v>
      </c>
      <c r="P75" s="42">
        <f>ROUND(Five_Semester_Statistics_I[[#This Row],[Mid &amp; Final]],0)</f>
        <v>24</v>
      </c>
      <c r="Q75" s="42">
        <f t="shared" si="3"/>
        <v>47</v>
      </c>
      <c r="R75" s="46" t="str">
        <f t="shared" si="4"/>
        <v>C</v>
      </c>
      <c r="S75" s="44" t="str">
        <f t="shared" si="5"/>
        <v>2.25</v>
      </c>
      <c r="T75" s="34" t="str">
        <f t="shared" si="6"/>
        <v>Bellow Average</v>
      </c>
    </row>
    <row r="76" spans="1:22" x14ac:dyDescent="0.25">
      <c r="A76" s="6" t="s">
        <v>11</v>
      </c>
      <c r="B76" s="225" t="s">
        <v>31</v>
      </c>
      <c r="C76" s="221"/>
      <c r="D76" s="221"/>
      <c r="E76" s="221"/>
      <c r="F76" s="221"/>
      <c r="G76" s="226"/>
      <c r="H76" s="220"/>
      <c r="I76" s="220"/>
      <c r="J76" s="220"/>
      <c r="K76" s="4"/>
      <c r="L76" s="226"/>
      <c r="M76" s="221"/>
      <c r="N76" s="221"/>
      <c r="O76" s="221"/>
      <c r="P76" s="222"/>
      <c r="Q76" s="222"/>
      <c r="R76" s="223"/>
      <c r="S76" s="224"/>
      <c r="T76" s="219"/>
    </row>
    <row r="77" spans="1:22" x14ac:dyDescent="0.25">
      <c r="A77" s="1" t="s">
        <v>12</v>
      </c>
      <c r="B77" s="29" t="s">
        <v>37</v>
      </c>
      <c r="C77" s="28">
        <v>1</v>
      </c>
      <c r="D77" s="28">
        <v>10.333333333333334</v>
      </c>
      <c r="E77" s="28">
        <v>13.666666666666666</v>
      </c>
      <c r="F77" s="28">
        <f>(((SUM(Five_Semester_Statistics_I[[#This Row],[Quiz 1]:[Quiz 3]]))/SUM($C$63:$E$63))*$F$63)</f>
        <v>8.3333333333333339</v>
      </c>
      <c r="G77" s="27">
        <f>ROUND(Five_Semester_Statistics_I[[#This Row],[Quiz Average]],0)</f>
        <v>8</v>
      </c>
      <c r="H77" s="31">
        <v>4</v>
      </c>
      <c r="I77" s="31">
        <v>2</v>
      </c>
      <c r="J77" s="31">
        <v>6</v>
      </c>
      <c r="K77" s="80">
        <f>SUM(Five_Semester_Statistics_I[[#This Row],[Assignment]:[Attendance]])</f>
        <v>12</v>
      </c>
      <c r="L77" s="27">
        <f>ROUND(Five_Semester_Statistics_I[[#This Row],[Total out of APA]],0)</f>
        <v>12</v>
      </c>
      <c r="M77" s="28">
        <v>2.5</v>
      </c>
      <c r="N77" s="28">
        <v>11.5</v>
      </c>
      <c r="O77" s="28">
        <f>SUM(Five_Semester_Statistics_I[[#This Row],[Midterm]:[Final]])</f>
        <v>14</v>
      </c>
      <c r="P77" s="42">
        <f>ROUND(Five_Semester_Statistics_I[[#This Row],[Mid &amp; Final]],0)</f>
        <v>14</v>
      </c>
      <c r="Q77" s="42">
        <f t="shared" si="3"/>
        <v>34</v>
      </c>
      <c r="R77" s="46" t="str">
        <f t="shared" si="4"/>
        <v>F</v>
      </c>
      <c r="S77" s="44" t="str">
        <f t="shared" si="5"/>
        <v>0.00</v>
      </c>
      <c r="T77" s="34" t="str">
        <f t="shared" si="6"/>
        <v>Fail</v>
      </c>
    </row>
    <row r="78" spans="1:22" x14ac:dyDescent="0.25">
      <c r="A78" s="1" t="s">
        <v>13</v>
      </c>
      <c r="B78" s="29" t="s">
        <v>38</v>
      </c>
      <c r="C78" s="28">
        <v>2.3333333333333335</v>
      </c>
      <c r="D78" s="28">
        <v>13.666666666666666</v>
      </c>
      <c r="E78" s="28">
        <v>2.3333333333333335</v>
      </c>
      <c r="F78" s="28">
        <f>(((SUM(Five_Semester_Statistics_I[[#This Row],[Quiz 1]:[Quiz 3]]))/SUM($C$63:$E$63))*$F$63)</f>
        <v>6.1111111111111107</v>
      </c>
      <c r="G78" s="27">
        <f>ROUND(Five_Semester_Statistics_I[[#This Row],[Quiz Average]],0)</f>
        <v>6</v>
      </c>
      <c r="H78" s="31">
        <v>3</v>
      </c>
      <c r="I78" s="31">
        <v>7</v>
      </c>
      <c r="J78" s="31">
        <v>5</v>
      </c>
      <c r="K78" s="80">
        <f>SUM(Five_Semester_Statistics_I[[#This Row],[Assignment]:[Attendance]])</f>
        <v>15</v>
      </c>
      <c r="L78" s="27">
        <f>ROUND(Five_Semester_Statistics_I[[#This Row],[Total out of APA]],0)</f>
        <v>15</v>
      </c>
      <c r="M78" s="28">
        <v>13</v>
      </c>
      <c r="N78" s="28">
        <v>23.5</v>
      </c>
      <c r="O78" s="28">
        <f>SUM(Five_Semester_Statistics_I[[#This Row],[Midterm]:[Final]])</f>
        <v>36.5</v>
      </c>
      <c r="P78" s="42">
        <f>ROUND(Five_Semester_Statistics_I[[#This Row],[Mid &amp; Final]],0)</f>
        <v>37</v>
      </c>
      <c r="Q78" s="42">
        <f t="shared" si="3"/>
        <v>58</v>
      </c>
      <c r="R78" s="46" t="str">
        <f t="shared" si="4"/>
        <v>B-</v>
      </c>
      <c r="S78" s="44" t="str">
        <f t="shared" si="5"/>
        <v>2.75</v>
      </c>
      <c r="T78" s="34" t="str">
        <f t="shared" si="6"/>
        <v>Above Average</v>
      </c>
      <c r="V78" s="9"/>
    </row>
    <row r="79" spans="1:22" x14ac:dyDescent="0.25">
      <c r="A79" s="1" t="s">
        <v>14</v>
      </c>
      <c r="B79" s="29" t="s">
        <v>39</v>
      </c>
      <c r="C79" s="28">
        <v>6.666666666666667</v>
      </c>
      <c r="D79" s="28">
        <v>6.333333333333333</v>
      </c>
      <c r="E79" s="28">
        <v>6.666666666666667</v>
      </c>
      <c r="F79" s="28">
        <f>(((SUM(Five_Semester_Statistics_I[[#This Row],[Quiz 1]:[Quiz 3]]))/SUM($C$63:$E$63))*$F$63)</f>
        <v>6.5555555555555562</v>
      </c>
      <c r="G79" s="27">
        <f>ROUND(Five_Semester_Statistics_I[[#This Row],[Quiz Average]],0)</f>
        <v>7</v>
      </c>
      <c r="H79" s="31">
        <v>5</v>
      </c>
      <c r="I79" s="31">
        <v>4</v>
      </c>
      <c r="J79" s="31">
        <v>2</v>
      </c>
      <c r="K79" s="80">
        <f>SUM(Five_Semester_Statistics_I[[#This Row],[Assignment]:[Attendance]])</f>
        <v>11</v>
      </c>
      <c r="L79" s="27">
        <f>ROUND(Five_Semester_Statistics_I[[#This Row],[Total out of APA]],0)</f>
        <v>11</v>
      </c>
      <c r="M79" s="28">
        <v>8.5</v>
      </c>
      <c r="N79" s="28">
        <v>10</v>
      </c>
      <c r="O79" s="28">
        <f>SUM(Five_Semester_Statistics_I[[#This Row],[Midterm]:[Final]])</f>
        <v>18.5</v>
      </c>
      <c r="P79" s="42">
        <f>ROUND(Five_Semester_Statistics_I[[#This Row],[Mid &amp; Final]],0)</f>
        <v>19</v>
      </c>
      <c r="Q79" s="42">
        <f t="shared" si="3"/>
        <v>37</v>
      </c>
      <c r="R79" s="46" t="str">
        <f t="shared" si="4"/>
        <v>F</v>
      </c>
      <c r="S79" s="44" t="str">
        <f t="shared" si="5"/>
        <v>0.00</v>
      </c>
      <c r="T79" s="34" t="str">
        <f t="shared" si="6"/>
        <v>Fail</v>
      </c>
    </row>
    <row r="80" spans="1:22" x14ac:dyDescent="0.25">
      <c r="A80" s="1" t="s">
        <v>15</v>
      </c>
      <c r="B80" s="29" t="s">
        <v>40</v>
      </c>
      <c r="C80" s="28">
        <v>2.6666666666666665</v>
      </c>
      <c r="D80" s="28">
        <v>13.666666666666666</v>
      </c>
      <c r="E80" s="28">
        <v>9</v>
      </c>
      <c r="F80" s="28">
        <f>(((SUM(Five_Semester_Statistics_I[[#This Row],[Quiz 1]:[Quiz 3]]))/SUM($C$63:$E$63))*$F$63)</f>
        <v>8.4444444444444429</v>
      </c>
      <c r="G80" s="27">
        <f>ROUND(Five_Semester_Statistics_I[[#This Row],[Quiz Average]],0)</f>
        <v>8</v>
      </c>
      <c r="H80" s="31">
        <v>3</v>
      </c>
      <c r="I80" s="31">
        <v>5</v>
      </c>
      <c r="J80" s="31">
        <v>3</v>
      </c>
      <c r="K80" s="80">
        <f>SUM(Five_Semester_Statistics_I[[#This Row],[Assignment]:[Attendance]])</f>
        <v>11</v>
      </c>
      <c r="L80" s="27">
        <f>ROUND(Five_Semester_Statistics_I[[#This Row],[Total out of APA]],0)</f>
        <v>11</v>
      </c>
      <c r="M80" s="28">
        <v>11.5</v>
      </c>
      <c r="N80" s="28">
        <v>39.5</v>
      </c>
      <c r="O80" s="28">
        <f>SUM(Five_Semester_Statistics_I[[#This Row],[Midterm]:[Final]])</f>
        <v>51</v>
      </c>
      <c r="P80" s="42">
        <f>ROUND(Five_Semester_Statistics_I[[#This Row],[Mid &amp; Final]],0)</f>
        <v>51</v>
      </c>
      <c r="Q80" s="42">
        <f t="shared" si="3"/>
        <v>70</v>
      </c>
      <c r="R80" s="46" t="str">
        <f t="shared" si="4"/>
        <v>A-</v>
      </c>
      <c r="S80" s="44" t="str">
        <f t="shared" si="5"/>
        <v>3.50</v>
      </c>
      <c r="T80" s="34" t="str">
        <f t="shared" si="6"/>
        <v>Very Good</v>
      </c>
    </row>
    <row r="81" spans="1:20" x14ac:dyDescent="0.25">
      <c r="A81" s="6" t="s">
        <v>16</v>
      </c>
      <c r="B81" s="225" t="s">
        <v>31</v>
      </c>
      <c r="C81" s="221"/>
      <c r="D81" s="221"/>
      <c r="E81" s="221"/>
      <c r="F81" s="221"/>
      <c r="G81" s="226"/>
      <c r="H81" s="220"/>
      <c r="I81" s="220"/>
      <c r="J81" s="220"/>
      <c r="K81" s="4"/>
      <c r="L81" s="226"/>
      <c r="M81" s="221"/>
      <c r="N81" s="221"/>
      <c r="O81" s="221"/>
      <c r="P81" s="222"/>
      <c r="Q81" s="222"/>
      <c r="R81" s="223"/>
      <c r="S81" s="224"/>
      <c r="T81" s="219"/>
    </row>
    <row r="82" spans="1:20" x14ac:dyDescent="0.25">
      <c r="A82" s="1" t="s">
        <v>17</v>
      </c>
      <c r="B82" s="29" t="s">
        <v>41</v>
      </c>
      <c r="C82" s="28">
        <v>2.3333333333333335</v>
      </c>
      <c r="D82" s="28">
        <v>2</v>
      </c>
      <c r="E82" s="28">
        <v>13.333333333333334</v>
      </c>
      <c r="F82" s="28">
        <f>(((SUM(Five_Semester_Statistics_I[[#This Row],[Quiz 1]:[Quiz 3]]))/SUM($C$63:$E$63))*$F$63)</f>
        <v>5.8888888888888893</v>
      </c>
      <c r="G82" s="27">
        <f>ROUND(Five_Semester_Statistics_I[[#This Row],[Quiz Average]],0)</f>
        <v>6</v>
      </c>
      <c r="H82" s="31">
        <v>2</v>
      </c>
      <c r="I82" s="31">
        <v>8</v>
      </c>
      <c r="J82" s="31">
        <v>2</v>
      </c>
      <c r="K82" s="80">
        <f>SUM(Five_Semester_Statistics_I[[#This Row],[Assignment]:[Attendance]])</f>
        <v>12</v>
      </c>
      <c r="L82" s="27">
        <f>ROUND(Five_Semester_Statistics_I[[#This Row],[Total out of APA]],0)</f>
        <v>12</v>
      </c>
      <c r="M82" s="28">
        <v>10</v>
      </c>
      <c r="N82" s="28">
        <v>40</v>
      </c>
      <c r="O82" s="28">
        <f>SUM(Five_Semester_Statistics_I[[#This Row],[Midterm]:[Final]])</f>
        <v>50</v>
      </c>
      <c r="P82" s="42">
        <f>ROUND(Five_Semester_Statistics_I[[#This Row],[Mid &amp; Final]],0)</f>
        <v>50</v>
      </c>
      <c r="Q82" s="42">
        <f t="shared" si="3"/>
        <v>68</v>
      </c>
      <c r="R82" s="46" t="str">
        <f t="shared" si="4"/>
        <v>B+</v>
      </c>
      <c r="S82" s="44" t="str">
        <f t="shared" si="5"/>
        <v>3.25</v>
      </c>
      <c r="T82" s="34" t="str">
        <f t="shared" si="6"/>
        <v>Good</v>
      </c>
    </row>
    <row r="83" spans="1:20" x14ac:dyDescent="0.25">
      <c r="A83" s="1" t="s">
        <v>18</v>
      </c>
      <c r="B83" s="29" t="s">
        <v>42</v>
      </c>
      <c r="C83" s="28">
        <v>7</v>
      </c>
      <c r="D83" s="28">
        <v>12.666666666666666</v>
      </c>
      <c r="E83" s="28">
        <v>7</v>
      </c>
      <c r="F83" s="28">
        <f>(((SUM(Five_Semester_Statistics_I[[#This Row],[Quiz 1]:[Quiz 3]]))/SUM($C$63:$E$63))*$F$63)</f>
        <v>8.8888888888888893</v>
      </c>
      <c r="G83" s="27">
        <f>ROUND(Five_Semester_Statistics_I[[#This Row],[Quiz Average]],0)</f>
        <v>9</v>
      </c>
      <c r="H83" s="31">
        <v>5</v>
      </c>
      <c r="I83" s="31">
        <v>8</v>
      </c>
      <c r="J83" s="31">
        <v>5</v>
      </c>
      <c r="K83" s="80">
        <f>SUM(Five_Semester_Statistics_I[[#This Row],[Assignment]:[Attendance]])</f>
        <v>18</v>
      </c>
      <c r="L83" s="27">
        <f>ROUND(Five_Semester_Statistics_I[[#This Row],[Total out of APA]],0)</f>
        <v>18</v>
      </c>
      <c r="M83" s="28">
        <v>17</v>
      </c>
      <c r="N83" s="28">
        <v>14.5</v>
      </c>
      <c r="O83" s="28">
        <f>SUM(Five_Semester_Statistics_I[[#This Row],[Midterm]:[Final]])</f>
        <v>31.5</v>
      </c>
      <c r="P83" s="42">
        <f>ROUND(Five_Semester_Statistics_I[[#This Row],[Mid &amp; Final]],0)</f>
        <v>32</v>
      </c>
      <c r="Q83" s="42">
        <f t="shared" si="3"/>
        <v>59</v>
      </c>
      <c r="R83" s="46" t="str">
        <f t="shared" si="4"/>
        <v>B-</v>
      </c>
      <c r="S83" s="44" t="str">
        <f t="shared" si="5"/>
        <v>2.75</v>
      </c>
      <c r="T83" s="34" t="str">
        <f t="shared" si="6"/>
        <v>Above Average</v>
      </c>
    </row>
    <row r="84" spans="1:20" x14ac:dyDescent="0.25">
      <c r="A84" s="1" t="s">
        <v>19</v>
      </c>
      <c r="B84" s="29" t="s">
        <v>43</v>
      </c>
      <c r="C84" s="28">
        <v>5.333333333333333</v>
      </c>
      <c r="D84" s="28">
        <v>8.3333333333333339</v>
      </c>
      <c r="E84" s="28">
        <v>14</v>
      </c>
      <c r="F84" s="28">
        <f>(((SUM(Five_Semester_Statistics_I[[#This Row],[Quiz 1]:[Quiz 3]]))/SUM($C$63:$E$63))*$F$63)</f>
        <v>9.2222222222222214</v>
      </c>
      <c r="G84" s="27">
        <f>ROUND(Five_Semester_Statistics_I[[#This Row],[Quiz Average]],0)</f>
        <v>9</v>
      </c>
      <c r="H84" s="31">
        <v>4</v>
      </c>
      <c r="I84" s="31">
        <v>6</v>
      </c>
      <c r="J84" s="31">
        <v>7</v>
      </c>
      <c r="K84" s="80">
        <f>SUM(Five_Semester_Statistics_I[[#This Row],[Assignment]:[Attendance]])</f>
        <v>17</v>
      </c>
      <c r="L84" s="27">
        <f>ROUND(Five_Semester_Statistics_I[[#This Row],[Total out of APA]],0)</f>
        <v>17</v>
      </c>
      <c r="M84" s="28">
        <v>13</v>
      </c>
      <c r="N84" s="28">
        <v>19</v>
      </c>
      <c r="O84" s="28">
        <f>SUM(Five_Semester_Statistics_I[[#This Row],[Midterm]:[Final]])</f>
        <v>32</v>
      </c>
      <c r="P84" s="42">
        <f>ROUND(Five_Semester_Statistics_I[[#This Row],[Mid &amp; Final]],0)</f>
        <v>32</v>
      </c>
      <c r="Q84" s="42">
        <f t="shared" si="3"/>
        <v>58</v>
      </c>
      <c r="R84" s="46" t="str">
        <f t="shared" si="4"/>
        <v>B-</v>
      </c>
      <c r="S84" s="44" t="str">
        <f t="shared" si="5"/>
        <v>2.75</v>
      </c>
      <c r="T84" s="34" t="str">
        <f t="shared" si="6"/>
        <v>Above Average</v>
      </c>
    </row>
    <row r="85" spans="1:20" x14ac:dyDescent="0.25">
      <c r="A85" s="1" t="s">
        <v>23</v>
      </c>
      <c r="B85" s="29" t="s">
        <v>44</v>
      </c>
      <c r="C85" s="28">
        <v>13</v>
      </c>
      <c r="D85" s="28">
        <v>3.3333333333333335</v>
      </c>
      <c r="E85" s="28">
        <v>6</v>
      </c>
      <c r="F85" s="28">
        <f>(((SUM(Five_Semester_Statistics_I[[#This Row],[Quiz 1]:[Quiz 3]]))/SUM($C$63:$E$63))*$F$63)</f>
        <v>7.4444444444444446</v>
      </c>
      <c r="G85" s="27">
        <f>ROUND(Five_Semester_Statistics_I[[#This Row],[Quiz Average]],0)</f>
        <v>7</v>
      </c>
      <c r="H85" s="31">
        <v>4</v>
      </c>
      <c r="I85" s="31">
        <v>5</v>
      </c>
      <c r="J85" s="31">
        <v>5</v>
      </c>
      <c r="K85" s="80">
        <f>SUM(Five_Semester_Statistics_I[[#This Row],[Assignment]:[Attendance]])</f>
        <v>14</v>
      </c>
      <c r="L85" s="27">
        <f>ROUND(Five_Semester_Statistics_I[[#This Row],[Total out of APA]],0)</f>
        <v>14</v>
      </c>
      <c r="M85" s="28">
        <v>19.5</v>
      </c>
      <c r="N85" s="28">
        <v>13.5</v>
      </c>
      <c r="O85" s="28">
        <f>SUM(Five_Semester_Statistics_I[[#This Row],[Midterm]:[Final]])</f>
        <v>33</v>
      </c>
      <c r="P85" s="42">
        <f>ROUND(Five_Semester_Statistics_I[[#This Row],[Mid &amp; Final]],0)</f>
        <v>33</v>
      </c>
      <c r="Q85" s="42">
        <f t="shared" si="3"/>
        <v>54</v>
      </c>
      <c r="R85" s="46" t="str">
        <f t="shared" si="4"/>
        <v>C+</v>
      </c>
      <c r="S85" s="44" t="str">
        <f t="shared" si="5"/>
        <v>2.50</v>
      </c>
      <c r="T85" s="34" t="str">
        <f t="shared" si="6"/>
        <v>Average</v>
      </c>
    </row>
    <row r="86" spans="1:20" x14ac:dyDescent="0.25">
      <c r="A86" s="1" t="s">
        <v>24</v>
      </c>
      <c r="B86" s="29" t="s">
        <v>45</v>
      </c>
      <c r="C86" s="28">
        <v>1</v>
      </c>
      <c r="D86" s="28">
        <v>8.3333333333333339</v>
      </c>
      <c r="E86" s="28">
        <v>2.3333333333333335</v>
      </c>
      <c r="F86" s="28">
        <f>(((SUM(Five_Semester_Statistics_I[[#This Row],[Quiz 1]:[Quiz 3]]))/SUM($C$63:$E$63))*$F$63)</f>
        <v>3.8888888888888893</v>
      </c>
      <c r="G86" s="27">
        <f>ROUND(Five_Semester_Statistics_I[[#This Row],[Quiz Average]],0)</f>
        <v>4</v>
      </c>
      <c r="H86" s="31">
        <v>4</v>
      </c>
      <c r="I86" s="31">
        <v>7</v>
      </c>
      <c r="J86" s="31">
        <v>2</v>
      </c>
      <c r="K86" s="80">
        <f>SUM(Five_Semester_Statistics_I[[#This Row],[Assignment]:[Attendance]])</f>
        <v>13</v>
      </c>
      <c r="L86" s="27">
        <f>ROUND(Five_Semester_Statistics_I[[#This Row],[Total out of APA]],0)</f>
        <v>13</v>
      </c>
      <c r="M86" s="28">
        <v>21.5</v>
      </c>
      <c r="N86" s="28">
        <v>17.5</v>
      </c>
      <c r="O86" s="28">
        <f>SUM(Five_Semester_Statistics_I[[#This Row],[Midterm]:[Final]])</f>
        <v>39</v>
      </c>
      <c r="P86" s="42">
        <f>ROUND(Five_Semester_Statistics_I[[#This Row],[Mid &amp; Final]],0)</f>
        <v>39</v>
      </c>
      <c r="Q86" s="42">
        <f t="shared" si="3"/>
        <v>56</v>
      </c>
      <c r="R86" s="46" t="str">
        <f t="shared" si="4"/>
        <v>B-</v>
      </c>
      <c r="S86" s="44" t="str">
        <f t="shared" si="5"/>
        <v>2.75</v>
      </c>
      <c r="T86" s="34" t="str">
        <f t="shared" si="6"/>
        <v>Above Average</v>
      </c>
    </row>
    <row r="87" spans="1:20" x14ac:dyDescent="0.25">
      <c r="A87" s="1" t="s">
        <v>25</v>
      </c>
      <c r="B87" s="29" t="s">
        <v>46</v>
      </c>
      <c r="C87" s="28">
        <v>13</v>
      </c>
      <c r="D87" s="28">
        <v>2.6666666666666665</v>
      </c>
      <c r="E87" s="28">
        <v>8</v>
      </c>
      <c r="F87" s="28">
        <f>(((SUM(Five_Semester_Statistics_I[[#This Row],[Quiz 1]:[Quiz 3]]))/SUM($C$63:$E$63))*$F$63)</f>
        <v>7.8888888888888884</v>
      </c>
      <c r="G87" s="27">
        <f>ROUND(Five_Semester_Statistics_I[[#This Row],[Quiz Average]],0)</f>
        <v>8</v>
      </c>
      <c r="H87" s="31">
        <v>2</v>
      </c>
      <c r="I87" s="31">
        <v>6</v>
      </c>
      <c r="J87" s="31">
        <v>6</v>
      </c>
      <c r="K87" s="80">
        <f>SUM(Five_Semester_Statistics_I[[#This Row],[Assignment]:[Attendance]])</f>
        <v>14</v>
      </c>
      <c r="L87" s="27">
        <f>ROUND(Five_Semester_Statistics_I[[#This Row],[Total out of APA]],0)</f>
        <v>14</v>
      </c>
      <c r="M87" s="28">
        <v>21.5</v>
      </c>
      <c r="N87" s="28">
        <v>30.5</v>
      </c>
      <c r="O87" s="28">
        <f>SUM(Five_Semester_Statistics_I[[#This Row],[Midterm]:[Final]])</f>
        <v>52</v>
      </c>
      <c r="P87" s="42">
        <f>ROUND(Five_Semester_Statistics_I[[#This Row],[Mid &amp; Final]],0)</f>
        <v>52</v>
      </c>
      <c r="Q87" s="42">
        <f t="shared" si="3"/>
        <v>74</v>
      </c>
      <c r="R87" s="46" t="str">
        <f t="shared" si="4"/>
        <v>A-</v>
      </c>
      <c r="S87" s="44" t="str">
        <f t="shared" si="5"/>
        <v>3.50</v>
      </c>
      <c r="T87" s="34" t="str">
        <f t="shared" si="6"/>
        <v>Very Good</v>
      </c>
    </row>
    <row r="88" spans="1:20" x14ac:dyDescent="0.25">
      <c r="A88" s="1" t="s">
        <v>26</v>
      </c>
      <c r="B88" s="29" t="s">
        <v>47</v>
      </c>
      <c r="C88" s="28">
        <v>7</v>
      </c>
      <c r="D88" s="28">
        <v>14.666666666666666</v>
      </c>
      <c r="E88" s="28">
        <v>8.3333333333333339</v>
      </c>
      <c r="F88" s="28">
        <f>(((SUM(Five_Semester_Statistics_I[[#This Row],[Quiz 1]:[Quiz 3]]))/SUM($C$63:$E$63))*$F$63)</f>
        <v>10</v>
      </c>
      <c r="G88" s="27">
        <f>ROUND(Five_Semester_Statistics_I[[#This Row],[Quiz Average]],0)</f>
        <v>10</v>
      </c>
      <c r="H88" s="31">
        <v>4</v>
      </c>
      <c r="I88" s="31">
        <v>3</v>
      </c>
      <c r="J88" s="31">
        <v>6</v>
      </c>
      <c r="K88" s="80">
        <f>SUM(Five_Semester_Statistics_I[[#This Row],[Assignment]:[Attendance]])</f>
        <v>13</v>
      </c>
      <c r="L88" s="27">
        <f>ROUND(Five_Semester_Statistics_I[[#This Row],[Total out of APA]],0)</f>
        <v>13</v>
      </c>
      <c r="M88" s="28">
        <v>6</v>
      </c>
      <c r="N88" s="28">
        <v>20.5</v>
      </c>
      <c r="O88" s="28">
        <f>SUM(Five_Semester_Statistics_I[[#This Row],[Midterm]:[Final]])</f>
        <v>26.5</v>
      </c>
      <c r="P88" s="42">
        <f>ROUND(Five_Semester_Statistics_I[[#This Row],[Mid &amp; Final]],0)</f>
        <v>27</v>
      </c>
      <c r="Q88" s="42">
        <f t="shared" si="3"/>
        <v>50</v>
      </c>
      <c r="R88" s="46" t="str">
        <f t="shared" si="4"/>
        <v>C+</v>
      </c>
      <c r="S88" s="44" t="str">
        <f t="shared" si="5"/>
        <v>2.50</v>
      </c>
      <c r="T88" s="34" t="str">
        <f t="shared" si="6"/>
        <v>Average</v>
      </c>
    </row>
    <row r="89" spans="1:20" x14ac:dyDescent="0.25">
      <c r="A89" s="1" t="s">
        <v>50</v>
      </c>
      <c r="B89" s="29" t="s">
        <v>51</v>
      </c>
      <c r="C89" s="28">
        <v>6.666666666666667</v>
      </c>
      <c r="D89" s="28">
        <v>13.666666666666666</v>
      </c>
      <c r="E89" s="28">
        <v>9.6666666666666661</v>
      </c>
      <c r="F89" s="28">
        <f>(((SUM(Five_Semester_Statistics_I[[#This Row],[Quiz 1]:[Quiz 3]]))/SUM($C$63:$E$63))*$F$63)</f>
        <v>10</v>
      </c>
      <c r="G89" s="27">
        <f>ROUND(Five_Semester_Statistics_I[[#This Row],[Quiz Average]],0)</f>
        <v>10</v>
      </c>
      <c r="H89" s="31">
        <v>2</v>
      </c>
      <c r="I89" s="31">
        <v>7</v>
      </c>
      <c r="J89" s="31">
        <v>5</v>
      </c>
      <c r="K89" s="80">
        <f>SUM(Five_Semester_Statistics_I[[#This Row],[Assignment]:[Attendance]])</f>
        <v>14</v>
      </c>
      <c r="L89" s="27">
        <f>ROUND(Five_Semester_Statistics_I[[#This Row],[Total out of APA]],0)</f>
        <v>14</v>
      </c>
      <c r="M89" s="28">
        <v>16</v>
      </c>
      <c r="N89" s="28">
        <v>23</v>
      </c>
      <c r="O89" s="28">
        <f>SUM(Five_Semester_Statistics_I[[#This Row],[Midterm]:[Final]])</f>
        <v>39</v>
      </c>
      <c r="P89" s="42">
        <f>ROUND(Five_Semester_Statistics_I[[#This Row],[Mid &amp; Final]],0)</f>
        <v>39</v>
      </c>
      <c r="Q89" s="42">
        <f t="shared" si="3"/>
        <v>63</v>
      </c>
      <c r="R89" s="46" t="str">
        <f t="shared" si="4"/>
        <v>B</v>
      </c>
      <c r="S89" s="44" t="str">
        <f t="shared" si="5"/>
        <v>3.00</v>
      </c>
      <c r="T89" s="34" t="str">
        <f t="shared" si="6"/>
        <v>Satisfactory</v>
      </c>
    </row>
    <row r="90" spans="1:20" x14ac:dyDescent="0.25">
      <c r="A90" s="1" t="s">
        <v>53</v>
      </c>
      <c r="B90" s="29" t="s">
        <v>54</v>
      </c>
      <c r="C90" s="28">
        <v>9.3333333333333339</v>
      </c>
      <c r="D90" s="28">
        <v>13</v>
      </c>
      <c r="E90" s="28">
        <v>3.3333333333333335</v>
      </c>
      <c r="F90" s="28">
        <f>(((SUM(Five_Semester_Statistics_I[[#This Row],[Quiz 1]:[Quiz 3]]))/SUM($C$63:$E$63))*$F$63)</f>
        <v>8.5555555555555571</v>
      </c>
      <c r="G90" s="27">
        <f>ROUND(Five_Semester_Statistics_I[[#This Row],[Quiz Average]],0)</f>
        <v>9</v>
      </c>
      <c r="H90" s="31">
        <v>2</v>
      </c>
      <c r="I90" s="31">
        <v>5</v>
      </c>
      <c r="J90" s="31">
        <v>4</v>
      </c>
      <c r="K90" s="80">
        <f>SUM(Five_Semester_Statistics_I[[#This Row],[Assignment]:[Attendance]])</f>
        <v>11</v>
      </c>
      <c r="L90" s="27">
        <f>ROUND(Five_Semester_Statistics_I[[#This Row],[Total out of APA]],0)</f>
        <v>11</v>
      </c>
      <c r="M90" s="28">
        <v>3.5</v>
      </c>
      <c r="N90" s="28">
        <v>35</v>
      </c>
      <c r="O90" s="28">
        <f>SUM(Five_Semester_Statistics_I[[#This Row],[Midterm]:[Final]])</f>
        <v>38.5</v>
      </c>
      <c r="P90" s="42">
        <f>ROUND(Five_Semester_Statistics_I[[#This Row],[Mid &amp; Final]],0)</f>
        <v>39</v>
      </c>
      <c r="Q90" s="42">
        <f t="shared" si="3"/>
        <v>59</v>
      </c>
      <c r="R90" s="46" t="str">
        <f t="shared" si="4"/>
        <v>B-</v>
      </c>
      <c r="S90" s="44" t="str">
        <f t="shared" si="5"/>
        <v>2.75</v>
      </c>
      <c r="T90" s="34" t="str">
        <f t="shared" si="6"/>
        <v>Above Average</v>
      </c>
    </row>
    <row r="91" spans="1:20" ht="15.75" thickBot="1" x14ac:dyDescent="0.3">
      <c r="A91" s="35" t="s">
        <v>60</v>
      </c>
      <c r="B91" s="36" t="s">
        <v>61</v>
      </c>
      <c r="C91" s="37">
        <v>5</v>
      </c>
      <c r="D91" s="37">
        <v>3</v>
      </c>
      <c r="E91" s="37">
        <v>8.3333333333333339</v>
      </c>
      <c r="F91" s="37">
        <f>(((SUM(Five_Semester_Statistics_I[[#This Row],[Quiz 1]:[Quiz 3]]))/SUM($C$63:$E$63))*$F$63)</f>
        <v>5.4444444444444455</v>
      </c>
      <c r="G91" s="38">
        <f>ROUND(Five_Semester_Statistics_I[[#This Row],[Quiz Average]],0)</f>
        <v>5</v>
      </c>
      <c r="H91" s="39">
        <v>5</v>
      </c>
      <c r="I91" s="39">
        <v>6</v>
      </c>
      <c r="J91" s="39">
        <v>3</v>
      </c>
      <c r="K91" s="40">
        <f>SUM(Five_Semester_Statistics_I[[#This Row],[Assignment]:[Attendance]])</f>
        <v>14</v>
      </c>
      <c r="L91" s="38">
        <f>ROUND(Five_Semester_Statistics_I[[#This Row],[Total out of APA]],0)</f>
        <v>14</v>
      </c>
      <c r="M91" s="37">
        <v>24.5</v>
      </c>
      <c r="N91" s="37">
        <v>21.5</v>
      </c>
      <c r="O91" s="37">
        <f>SUM(Five_Semester_Statistics_I[[#This Row],[Midterm]:[Final]])</f>
        <v>46</v>
      </c>
      <c r="P91" s="43">
        <f>ROUND(Five_Semester_Statistics_I[[#This Row],[Mid &amp; Final]],0)</f>
        <v>46</v>
      </c>
      <c r="Q91" s="59">
        <f t="shared" si="3"/>
        <v>65</v>
      </c>
      <c r="R91" s="47" t="str">
        <f t="shared" si="4"/>
        <v>B+</v>
      </c>
      <c r="S91" s="45" t="str">
        <f t="shared" si="5"/>
        <v>3.25</v>
      </c>
      <c r="T91" s="41" t="str">
        <f t="shared" si="6"/>
        <v>Good</v>
      </c>
    </row>
    <row r="92" spans="1:20" x14ac:dyDescent="0.25">
      <c r="A92" s="68"/>
      <c r="B92" s="68"/>
      <c r="C92" s="30"/>
      <c r="D92" s="30"/>
      <c r="E92" s="30"/>
      <c r="F92" s="30"/>
      <c r="G92" s="69"/>
      <c r="H92" s="71"/>
      <c r="I92" s="71"/>
      <c r="J92" s="71"/>
      <c r="K92" s="69"/>
      <c r="L92" s="69"/>
      <c r="M92" s="30"/>
      <c r="N92" s="30"/>
      <c r="O92" s="30"/>
      <c r="P92" s="70"/>
      <c r="Q92" s="70"/>
      <c r="R92" s="30"/>
      <c r="S92" s="30"/>
      <c r="T92" s="30"/>
    </row>
    <row r="93" spans="1:20" x14ac:dyDescent="0.25">
      <c r="A93" s="68"/>
      <c r="B93" s="68"/>
      <c r="C93" s="30"/>
      <c r="D93" s="30"/>
      <c r="E93" s="30"/>
      <c r="F93" s="30"/>
      <c r="G93" s="69"/>
      <c r="H93" s="71"/>
      <c r="I93" s="71"/>
      <c r="J93" s="71"/>
      <c r="K93" s="69"/>
      <c r="L93" s="69"/>
      <c r="M93" s="30"/>
      <c r="N93" s="30"/>
      <c r="O93" s="30"/>
      <c r="P93" s="70"/>
      <c r="Q93" s="70"/>
      <c r="R93" s="30"/>
      <c r="S93" s="30"/>
      <c r="T93" s="30"/>
    </row>
    <row r="94" spans="1:20" x14ac:dyDescent="0.25">
      <c r="A94" s="68"/>
      <c r="B94" s="68"/>
      <c r="C94" s="30"/>
      <c r="D94" s="30"/>
      <c r="E94" s="30"/>
      <c r="F94" s="30"/>
      <c r="G94" s="69"/>
      <c r="H94" s="71"/>
      <c r="I94" s="71"/>
      <c r="J94" s="71"/>
      <c r="K94" s="69"/>
      <c r="L94" s="69"/>
      <c r="M94" s="30"/>
      <c r="N94" s="30"/>
      <c r="O94" s="30"/>
      <c r="P94" s="70"/>
      <c r="Q94" s="70"/>
      <c r="R94" s="30"/>
      <c r="S94" s="30"/>
      <c r="T94" s="30"/>
    </row>
    <row r="95" spans="1:20" x14ac:dyDescent="0.25">
      <c r="A95" s="68"/>
      <c r="B95" s="68"/>
      <c r="C95" s="30"/>
      <c r="D95" s="30"/>
      <c r="E95" s="30"/>
      <c r="F95" s="30"/>
      <c r="G95" s="69"/>
      <c r="H95" s="71"/>
      <c r="I95" s="71"/>
      <c r="J95" s="71"/>
      <c r="K95" s="69"/>
      <c r="L95" s="69"/>
      <c r="M95" s="30"/>
      <c r="N95" s="30"/>
      <c r="O95" s="30"/>
      <c r="P95" s="70"/>
      <c r="Q95" s="70"/>
      <c r="R95" s="30"/>
      <c r="S95" s="30"/>
      <c r="T95" s="30"/>
    </row>
    <row r="96" spans="1:20" x14ac:dyDescent="0.25">
      <c r="A96" s="68"/>
      <c r="B96" s="68"/>
      <c r="C96" s="30"/>
      <c r="D96" s="30"/>
      <c r="E96" s="30"/>
      <c r="F96" s="30"/>
      <c r="G96" s="69"/>
      <c r="H96" s="71"/>
      <c r="I96" s="71"/>
      <c r="J96" s="71"/>
      <c r="K96" s="69"/>
      <c r="L96" s="69"/>
      <c r="M96" s="30"/>
      <c r="N96" s="30"/>
      <c r="O96" s="30"/>
      <c r="P96" s="70"/>
      <c r="Q96" s="70"/>
      <c r="R96" s="30"/>
      <c r="S96" s="30"/>
      <c r="T96" s="30"/>
    </row>
    <row r="97" spans="1:20" x14ac:dyDescent="0.25">
      <c r="A97" s="68"/>
      <c r="B97" s="68"/>
      <c r="C97" s="30"/>
      <c r="D97" s="30"/>
      <c r="E97" s="30"/>
      <c r="F97" s="30"/>
      <c r="G97" s="69"/>
      <c r="H97" s="71"/>
      <c r="I97" s="71"/>
      <c r="J97" s="71"/>
      <c r="K97" s="69"/>
      <c r="L97" s="69"/>
      <c r="M97" s="30"/>
      <c r="N97" s="30"/>
      <c r="O97" s="30"/>
      <c r="P97" s="70"/>
      <c r="Q97" s="70"/>
      <c r="R97" s="30"/>
      <c r="S97" s="30"/>
      <c r="T97" s="30"/>
    </row>
    <row r="107" spans="1:20" ht="26.25" customHeight="1" x14ac:dyDescent="0.25">
      <c r="A107" s="293" t="s">
        <v>163</v>
      </c>
      <c r="B107" s="293"/>
      <c r="C107" s="56" t="s">
        <v>165</v>
      </c>
      <c r="D107" s="56"/>
      <c r="E107" s="56"/>
      <c r="F107" s="294" t="s">
        <v>332</v>
      </c>
      <c r="G107" s="294"/>
      <c r="H107" s="294"/>
      <c r="I107" s="294"/>
      <c r="J107" s="294"/>
      <c r="K107" s="294"/>
      <c r="L107" s="294"/>
      <c r="M107" s="56"/>
      <c r="N107" s="56"/>
      <c r="O107" s="56"/>
      <c r="P107" s="56"/>
      <c r="Q107" s="56"/>
      <c r="R107" s="56"/>
      <c r="S107" s="64" t="s">
        <v>167</v>
      </c>
      <c r="T107" s="65">
        <v>44774</v>
      </c>
    </row>
    <row r="108" spans="1:20" ht="27" customHeight="1" thickBot="1" x14ac:dyDescent="0.3">
      <c r="A108" s="296" t="s">
        <v>164</v>
      </c>
      <c r="B108" s="296"/>
      <c r="C108" s="63" t="s">
        <v>166</v>
      </c>
      <c r="D108" s="63"/>
      <c r="E108" s="62"/>
      <c r="F108" s="295"/>
      <c r="G108" s="295"/>
      <c r="H108" s="295"/>
      <c r="I108" s="295"/>
      <c r="J108" s="295"/>
      <c r="K108" s="295"/>
      <c r="L108" s="295"/>
      <c r="M108" s="32"/>
      <c r="N108" s="32"/>
      <c r="O108" s="32"/>
      <c r="P108" s="32"/>
      <c r="Q108" s="32"/>
      <c r="R108" s="32"/>
      <c r="S108" s="61" t="s">
        <v>168</v>
      </c>
      <c r="T108" s="66">
        <v>0.91666666666666663</v>
      </c>
    </row>
    <row r="109" spans="1:20" x14ac:dyDescent="0.25">
      <c r="A109" s="58" t="s">
        <v>0</v>
      </c>
      <c r="B109" s="57" t="s">
        <v>20</v>
      </c>
      <c r="C109" s="98" t="s">
        <v>132</v>
      </c>
      <c r="D109" s="98" t="s">
        <v>133</v>
      </c>
      <c r="E109" s="80" t="s">
        <v>134</v>
      </c>
      <c r="F109" s="80" t="s">
        <v>135</v>
      </c>
      <c r="G109" s="27" t="s">
        <v>136</v>
      </c>
      <c r="H109" s="80" t="s">
        <v>137</v>
      </c>
      <c r="I109" s="80" t="s">
        <v>138</v>
      </c>
      <c r="J109" s="80" t="s">
        <v>139</v>
      </c>
      <c r="K109" s="103" t="s">
        <v>140</v>
      </c>
      <c r="L109" s="60" t="s">
        <v>141</v>
      </c>
      <c r="M109" s="80" t="s">
        <v>143</v>
      </c>
      <c r="N109" s="98" t="s">
        <v>144</v>
      </c>
      <c r="O109" s="1" t="s">
        <v>145</v>
      </c>
      <c r="P109" s="33" t="s">
        <v>146</v>
      </c>
      <c r="Q109" s="48" t="s">
        <v>147</v>
      </c>
      <c r="R109" s="48" t="s">
        <v>148</v>
      </c>
      <c r="S109" s="48" t="s">
        <v>149</v>
      </c>
      <c r="T109" s="60" t="s">
        <v>150</v>
      </c>
    </row>
    <row r="110" spans="1:20" x14ac:dyDescent="0.25">
      <c r="A110" s="15"/>
      <c r="B110" s="49" t="s">
        <v>142</v>
      </c>
      <c r="C110" s="50">
        <v>15</v>
      </c>
      <c r="D110" s="50">
        <v>15</v>
      </c>
      <c r="E110" s="50">
        <v>15</v>
      </c>
      <c r="F110" s="51">
        <v>15</v>
      </c>
      <c r="G110" s="52">
        <v>15</v>
      </c>
      <c r="H110" s="50">
        <v>5</v>
      </c>
      <c r="I110" s="50">
        <v>8</v>
      </c>
      <c r="J110" s="50">
        <v>7</v>
      </c>
      <c r="K110" s="51">
        <v>20</v>
      </c>
      <c r="L110" s="52">
        <v>20</v>
      </c>
      <c r="M110" s="50">
        <v>25</v>
      </c>
      <c r="N110" s="50">
        <v>40</v>
      </c>
      <c r="O110" s="53">
        <v>65</v>
      </c>
      <c r="P110" s="54">
        <v>65</v>
      </c>
      <c r="Q110" s="55">
        <v>100</v>
      </c>
      <c r="R110" s="55" t="s">
        <v>151</v>
      </c>
      <c r="S110" s="54" t="s">
        <v>152</v>
      </c>
      <c r="T110" s="54" t="s">
        <v>153</v>
      </c>
    </row>
    <row r="111" spans="1:20" x14ac:dyDescent="0.25">
      <c r="A111" s="1" t="s">
        <v>57</v>
      </c>
      <c r="B111" s="29" t="s">
        <v>58</v>
      </c>
      <c r="C111" s="28">
        <v>8</v>
      </c>
      <c r="D111" s="28">
        <v>4.666666666666667</v>
      </c>
      <c r="E111" s="28">
        <v>3.3333333333333335</v>
      </c>
      <c r="F111" s="28">
        <f>(((SUM(Five_Semester_Financial_Management_System[[#This Row],[Quiz 1]:[Quiz 3]]))/SUM($C$63:$E$63))*$F$63)</f>
        <v>5.3333333333333339</v>
      </c>
      <c r="G111" s="27">
        <f>ROUND(Five_Semester_Financial_Management_System[[#This Row],[Quiz Average]],0)</f>
        <v>5</v>
      </c>
      <c r="H111" s="31">
        <v>3</v>
      </c>
      <c r="I111" s="31">
        <v>5</v>
      </c>
      <c r="J111" s="31">
        <v>6</v>
      </c>
      <c r="K111" s="80">
        <f>SUM(Five_Semester_Financial_Management_System[[#This Row],[Assignment]:[Attendance]])</f>
        <v>14</v>
      </c>
      <c r="L111" s="27">
        <f>ROUND(Five_Semester_Financial_Management_System[[#This Row],[Total out of APA]],0)</f>
        <v>14</v>
      </c>
      <c r="M111" s="28">
        <v>15</v>
      </c>
      <c r="N111" s="28">
        <v>24.5</v>
      </c>
      <c r="O111" s="28">
        <f>SUM(Five_Semester_Financial_Management_System[[#This Row],[Midterm]:[Final]])</f>
        <v>39.5</v>
      </c>
      <c r="P111" s="42">
        <f>ROUND(Five_Semester_Financial_Management_System[[#This Row],[Mid &amp; Final]],0)</f>
        <v>40</v>
      </c>
      <c r="Q111" s="42">
        <f>SUM(G111,L111,P111)</f>
        <v>59</v>
      </c>
      <c r="R111" s="46" t="str">
        <f>IF(Q111&gt;79,"A+",IF(Q111&gt;74,"A",IF(Q111&gt;69,"A-",IF(Q111&gt;64,"B+",IF(Q111&gt;59,"B",IF(Q111&gt;54,"B-",IF(Q111&gt;49,"C+",IF(Q111&gt;44,"C",IF(Q111&gt;39,"D",IF(Q111&gt;0,"F","N/A"))))))))))</f>
        <v>B-</v>
      </c>
      <c r="S111" s="44" t="str">
        <f>IF(Q111&gt;79,"4.00",IF(Q111&gt;74,"3.75",IF(Q111&gt;69,"3.50",IF(Q111&gt;64,"3.25",IF(Q111&gt;59,"3.00",IF(Q111&gt;54,"2.75",IF(Q111&gt;49,"2.50",IF(Q111&gt;44,"2.25",IF(Q111&gt;39,"2.00",IF(Q111&gt;0,"0.00","N/A"))))))))))</f>
        <v>2.75</v>
      </c>
      <c r="T111" s="34" t="str">
        <f>IF(Q111&gt;79,"Outstanding",IF(Q111&gt;74,"Excellent",IF(Q111&gt;69,"Very Good",IF(Q111&gt;64,"Good",IF(Q111&gt;59,"Satisfactory",IF(Q111&gt;54,"Above Average",IF(Q111&gt;49,"Average",IF(Q111&gt;44,"Bellow Average",IF(Q111&gt;39,"Pass",IF(Q111&gt;0,"Fail","N/A"))))))))))</f>
        <v>Above Average</v>
      </c>
    </row>
    <row r="112" spans="1:20" x14ac:dyDescent="0.25">
      <c r="A112" s="1" t="s">
        <v>56</v>
      </c>
      <c r="B112" s="29" t="s">
        <v>59</v>
      </c>
      <c r="C112" s="28">
        <v>3.3333333333333335</v>
      </c>
      <c r="D112" s="28">
        <v>10</v>
      </c>
      <c r="E112" s="28">
        <v>1</v>
      </c>
      <c r="F112" s="28">
        <f>(((SUM(Five_Semester_Financial_Management_System[[#This Row],[Quiz 1]:[Quiz 3]]))/SUM($C$63:$E$63))*$F$63)</f>
        <v>4.7777777777777777</v>
      </c>
      <c r="G112" s="27">
        <f>ROUND(Five_Semester_Financial_Management_System[[#This Row],[Quiz Average]],0)</f>
        <v>5</v>
      </c>
      <c r="H112" s="31">
        <v>5</v>
      </c>
      <c r="I112" s="31">
        <v>7</v>
      </c>
      <c r="J112" s="31">
        <v>2</v>
      </c>
      <c r="K112" s="80">
        <f>SUM(Five_Semester_Financial_Management_System[[#This Row],[Assignment]:[Attendance]])</f>
        <v>14</v>
      </c>
      <c r="L112" s="27">
        <f>ROUND(Five_Semester_Financial_Management_System[[#This Row],[Total out of APA]],0)</f>
        <v>14</v>
      </c>
      <c r="M112" s="28">
        <v>11.5</v>
      </c>
      <c r="N112" s="28">
        <v>8.5</v>
      </c>
      <c r="O112" s="28">
        <f>SUM(Five_Semester_Financial_Management_System[[#This Row],[Midterm]:[Final]])</f>
        <v>20</v>
      </c>
      <c r="P112" s="42">
        <f>ROUND(Five_Semester_Financial_Management_System[[#This Row],[Mid &amp; Final]],0)</f>
        <v>20</v>
      </c>
      <c r="Q112" s="42">
        <f t="shared" ref="Q112:Q138" si="7">SUM(G112,L112,P112)</f>
        <v>39</v>
      </c>
      <c r="R112" s="46" t="str">
        <f t="shared" ref="R112:R138" si="8">IF(Q112&gt;79,"A+",IF(Q112&gt;74,"A",IF(Q112&gt;69,"A-",IF(Q112&gt;64,"B+",IF(Q112&gt;59,"B",IF(Q112&gt;54,"B-",IF(Q112&gt;49,"C+",IF(Q112&gt;44,"C",IF(Q112&gt;39,"D",IF(Q112&gt;0,"F","N/A"))))))))))</f>
        <v>F</v>
      </c>
      <c r="S112" s="44" t="str">
        <f t="shared" ref="S112:S138" si="9">IF(Q112&gt;79,"4.00",IF(Q112&gt;74,"3.75",IF(Q112&gt;69,"3.50",IF(Q112&gt;64,"3.25",IF(Q112&gt;59,"3.00",IF(Q112&gt;54,"2.75",IF(Q112&gt;49,"2.50",IF(Q112&gt;44,"2.25",IF(Q112&gt;39,"2.00",IF(Q112&gt;0,"0.00","N/A"))))))))))</f>
        <v>0.00</v>
      </c>
      <c r="T112" s="34" t="str">
        <f t="shared" ref="T112:T138" si="10">IF(Q112&gt;79,"Outstanding",IF(Q112&gt;74,"Excellent",IF(Q112&gt;69,"Very Good",IF(Q112&gt;64,"Good",IF(Q112&gt;59,"Satisfactory",IF(Q112&gt;54,"Above Average",IF(Q112&gt;49,"Average",IF(Q112&gt;44,"Bellow Average",IF(Q112&gt;39,"Pass",IF(Q112&gt;0,"Fail","N/A"))))))))))</f>
        <v>Fail</v>
      </c>
    </row>
    <row r="113" spans="1:20" x14ac:dyDescent="0.25">
      <c r="A113" s="1" t="s">
        <v>1</v>
      </c>
      <c r="B113" s="29" t="s">
        <v>27</v>
      </c>
      <c r="C113" s="28">
        <v>14.333333333333334</v>
      </c>
      <c r="D113" s="28">
        <v>8</v>
      </c>
      <c r="E113" s="28">
        <v>12.333333333333334</v>
      </c>
      <c r="F113" s="28">
        <f>(((SUM(Five_Semester_Financial_Management_System[[#This Row],[Quiz 1]:[Quiz 3]]))/SUM($C$63:$E$63))*$F$63)</f>
        <v>11.555555555555557</v>
      </c>
      <c r="G113" s="27">
        <f>ROUND(Five_Semester_Financial_Management_System[[#This Row],[Quiz Average]],0)</f>
        <v>12</v>
      </c>
      <c r="H113" s="31">
        <v>2</v>
      </c>
      <c r="I113" s="31">
        <v>4</v>
      </c>
      <c r="J113" s="31">
        <v>5</v>
      </c>
      <c r="K113" s="80">
        <f>SUM(Five_Semester_Financial_Management_System[[#This Row],[Assignment]:[Attendance]])</f>
        <v>11</v>
      </c>
      <c r="L113" s="27">
        <f>ROUND(Five_Semester_Financial_Management_System[[#This Row],[Total out of APA]],0)</f>
        <v>11</v>
      </c>
      <c r="M113" s="28">
        <v>22</v>
      </c>
      <c r="N113" s="28">
        <v>28.5</v>
      </c>
      <c r="O113" s="28">
        <f>SUM(Five_Semester_Financial_Management_System[[#This Row],[Midterm]:[Final]])</f>
        <v>50.5</v>
      </c>
      <c r="P113" s="42">
        <f>ROUND(Five_Semester_Financial_Management_System[[#This Row],[Mid &amp; Final]],0)</f>
        <v>51</v>
      </c>
      <c r="Q113" s="42">
        <f t="shared" si="7"/>
        <v>74</v>
      </c>
      <c r="R113" s="46" t="str">
        <f t="shared" si="8"/>
        <v>A-</v>
      </c>
      <c r="S113" s="44" t="str">
        <f t="shared" si="9"/>
        <v>3.50</v>
      </c>
      <c r="T113" s="34" t="str">
        <f t="shared" si="10"/>
        <v>Very Good</v>
      </c>
    </row>
    <row r="114" spans="1:20" x14ac:dyDescent="0.25">
      <c r="A114" s="1" t="s">
        <v>2</v>
      </c>
      <c r="B114" s="29" t="s">
        <v>28</v>
      </c>
      <c r="C114" s="28">
        <v>5.666666666666667</v>
      </c>
      <c r="D114" s="28">
        <v>1.6666666666666667</v>
      </c>
      <c r="E114" s="28">
        <v>3.6666666666666665</v>
      </c>
      <c r="F114" s="28">
        <f>(((SUM(Five_Semester_Financial_Management_System[[#This Row],[Quiz 1]:[Quiz 3]]))/SUM($C$63:$E$63))*$F$63)</f>
        <v>3.6666666666666665</v>
      </c>
      <c r="G114" s="27">
        <f>ROUND(Five_Semester_Financial_Management_System[[#This Row],[Quiz Average]],0)</f>
        <v>4</v>
      </c>
      <c r="H114" s="31">
        <v>4</v>
      </c>
      <c r="I114" s="31">
        <v>5</v>
      </c>
      <c r="J114" s="31">
        <v>5</v>
      </c>
      <c r="K114" s="80">
        <f>SUM(Five_Semester_Financial_Management_System[[#This Row],[Assignment]:[Attendance]])</f>
        <v>14</v>
      </c>
      <c r="L114" s="27">
        <f>ROUND(Five_Semester_Financial_Management_System[[#This Row],[Total out of APA]],0)</f>
        <v>14</v>
      </c>
      <c r="M114" s="28">
        <v>20</v>
      </c>
      <c r="N114" s="28">
        <v>31.5</v>
      </c>
      <c r="O114" s="28">
        <f>SUM(Five_Semester_Financial_Management_System[[#This Row],[Midterm]:[Final]])</f>
        <v>51.5</v>
      </c>
      <c r="P114" s="42">
        <f>ROUND(Five_Semester_Financial_Management_System[[#This Row],[Mid &amp; Final]],0)</f>
        <v>52</v>
      </c>
      <c r="Q114" s="42">
        <f t="shared" si="7"/>
        <v>70</v>
      </c>
      <c r="R114" s="46" t="str">
        <f t="shared" si="8"/>
        <v>A-</v>
      </c>
      <c r="S114" s="44" t="str">
        <f t="shared" si="9"/>
        <v>3.50</v>
      </c>
      <c r="T114" s="34" t="str">
        <f t="shared" si="10"/>
        <v>Very Good</v>
      </c>
    </row>
    <row r="115" spans="1:20" x14ac:dyDescent="0.25">
      <c r="A115" s="1" t="s">
        <v>3</v>
      </c>
      <c r="B115" s="29" t="s">
        <v>29</v>
      </c>
      <c r="C115" s="28">
        <v>6.333333333333333</v>
      </c>
      <c r="D115" s="28">
        <v>2</v>
      </c>
      <c r="E115" s="28">
        <v>5.666666666666667</v>
      </c>
      <c r="F115" s="28">
        <f>(((SUM(Five_Semester_Financial_Management_System[[#This Row],[Quiz 1]:[Quiz 3]]))/SUM($C$63:$E$63))*$F$63)</f>
        <v>4.666666666666667</v>
      </c>
      <c r="G115" s="27">
        <f>ROUND(Five_Semester_Financial_Management_System[[#This Row],[Quiz Average]],0)</f>
        <v>5</v>
      </c>
      <c r="H115" s="31">
        <v>3</v>
      </c>
      <c r="I115" s="31">
        <v>7</v>
      </c>
      <c r="J115" s="31">
        <v>3</v>
      </c>
      <c r="K115" s="80">
        <f>SUM(Five_Semester_Financial_Management_System[[#This Row],[Assignment]:[Attendance]])</f>
        <v>13</v>
      </c>
      <c r="L115" s="27">
        <f>ROUND(Five_Semester_Financial_Management_System[[#This Row],[Total out of APA]],0)</f>
        <v>13</v>
      </c>
      <c r="M115" s="28">
        <v>11.5</v>
      </c>
      <c r="N115" s="28">
        <v>33.5</v>
      </c>
      <c r="O115" s="28">
        <f>SUM(Five_Semester_Financial_Management_System[[#This Row],[Midterm]:[Final]])</f>
        <v>45</v>
      </c>
      <c r="P115" s="42">
        <f>ROUND(Five_Semester_Financial_Management_System[[#This Row],[Mid &amp; Final]],0)</f>
        <v>45</v>
      </c>
      <c r="Q115" s="42">
        <f t="shared" si="7"/>
        <v>63</v>
      </c>
      <c r="R115" s="46" t="str">
        <f t="shared" si="8"/>
        <v>B</v>
      </c>
      <c r="S115" s="44" t="str">
        <f t="shared" si="9"/>
        <v>3.00</v>
      </c>
      <c r="T115" s="34" t="str">
        <f t="shared" si="10"/>
        <v>Satisfactory</v>
      </c>
    </row>
    <row r="116" spans="1:20" x14ac:dyDescent="0.25">
      <c r="A116" s="1" t="s">
        <v>4</v>
      </c>
      <c r="B116" s="29" t="s">
        <v>30</v>
      </c>
      <c r="C116" s="28">
        <v>1.3333333333333333</v>
      </c>
      <c r="D116" s="28">
        <v>2</v>
      </c>
      <c r="E116" s="28">
        <v>3</v>
      </c>
      <c r="F116" s="28">
        <f>(((SUM(Five_Semester_Financial_Management_System[[#This Row],[Quiz 1]:[Quiz 3]]))/SUM($C$63:$E$63))*$F$63)</f>
        <v>2.1111111111111107</v>
      </c>
      <c r="G116" s="27">
        <f>ROUND(Five_Semester_Financial_Management_System[[#This Row],[Quiz Average]],0)</f>
        <v>2</v>
      </c>
      <c r="H116" s="31">
        <v>4</v>
      </c>
      <c r="I116" s="31">
        <v>7</v>
      </c>
      <c r="J116" s="31">
        <v>5</v>
      </c>
      <c r="K116" s="80">
        <f>SUM(Five_Semester_Financial_Management_System[[#This Row],[Assignment]:[Attendance]])</f>
        <v>16</v>
      </c>
      <c r="L116" s="27">
        <f>ROUND(Five_Semester_Financial_Management_System[[#This Row],[Total out of APA]],0)</f>
        <v>16</v>
      </c>
      <c r="M116" s="28">
        <v>1.5</v>
      </c>
      <c r="N116" s="28">
        <v>2</v>
      </c>
      <c r="O116" s="28">
        <f>SUM(Five_Semester_Financial_Management_System[[#This Row],[Midterm]:[Final]])</f>
        <v>3.5</v>
      </c>
      <c r="P116" s="42">
        <f>ROUND(Five_Semester_Financial_Management_System[[#This Row],[Mid &amp; Final]],0)</f>
        <v>4</v>
      </c>
      <c r="Q116" s="42">
        <f t="shared" si="7"/>
        <v>22</v>
      </c>
      <c r="R116" s="46" t="str">
        <f t="shared" si="8"/>
        <v>F</v>
      </c>
      <c r="S116" s="44" t="str">
        <f t="shared" si="9"/>
        <v>0.00</v>
      </c>
      <c r="T116" s="34" t="str">
        <f t="shared" si="10"/>
        <v>Fail</v>
      </c>
    </row>
    <row r="117" spans="1:20" x14ac:dyDescent="0.25">
      <c r="A117" s="6" t="s">
        <v>5</v>
      </c>
      <c r="B117" s="225" t="s">
        <v>31</v>
      </c>
      <c r="C117" s="221"/>
      <c r="D117" s="221"/>
      <c r="E117" s="221"/>
      <c r="F117" s="221"/>
      <c r="G117" s="226"/>
      <c r="H117" s="220"/>
      <c r="I117" s="220"/>
      <c r="J117" s="220"/>
      <c r="K117" s="4"/>
      <c r="L117" s="226"/>
      <c r="M117" s="221"/>
      <c r="N117" s="221"/>
      <c r="O117" s="221"/>
      <c r="P117" s="222"/>
      <c r="Q117" s="222"/>
      <c r="R117" s="223"/>
      <c r="S117" s="224"/>
      <c r="T117" s="219"/>
    </row>
    <row r="118" spans="1:20" x14ac:dyDescent="0.25">
      <c r="A118" s="1" t="s">
        <v>6</v>
      </c>
      <c r="B118" s="29" t="s">
        <v>32</v>
      </c>
      <c r="C118" s="28">
        <v>13.333333333333334</v>
      </c>
      <c r="D118" s="28">
        <v>7.333333333333333</v>
      </c>
      <c r="E118" s="28">
        <v>12.666666666666666</v>
      </c>
      <c r="F118" s="28">
        <f>(((SUM(Five_Semester_Financial_Management_System[[#This Row],[Quiz 1]:[Quiz 3]]))/SUM($C$63:$E$63))*$F$63)</f>
        <v>11.111111111111112</v>
      </c>
      <c r="G118" s="27">
        <f>ROUND(Five_Semester_Financial_Management_System[[#This Row],[Quiz Average]],0)</f>
        <v>11</v>
      </c>
      <c r="H118" s="31">
        <v>2</v>
      </c>
      <c r="I118" s="31">
        <v>5</v>
      </c>
      <c r="J118" s="31">
        <v>6</v>
      </c>
      <c r="K118" s="80">
        <f>SUM(Five_Semester_Financial_Management_System[[#This Row],[Assignment]:[Attendance]])</f>
        <v>13</v>
      </c>
      <c r="L118" s="27">
        <f>ROUND(Five_Semester_Financial_Management_System[[#This Row],[Total out of APA]],0)</f>
        <v>13</v>
      </c>
      <c r="M118" s="28">
        <v>24.5</v>
      </c>
      <c r="N118" s="28">
        <v>23.5</v>
      </c>
      <c r="O118" s="28">
        <f>SUM(Five_Semester_Financial_Management_System[[#This Row],[Midterm]:[Final]])</f>
        <v>48</v>
      </c>
      <c r="P118" s="42">
        <f>ROUND(Five_Semester_Financial_Management_System[[#This Row],[Mid &amp; Final]],0)</f>
        <v>48</v>
      </c>
      <c r="Q118" s="42">
        <f t="shared" si="7"/>
        <v>72</v>
      </c>
      <c r="R118" s="46" t="str">
        <f t="shared" si="8"/>
        <v>A-</v>
      </c>
      <c r="S118" s="44" t="str">
        <f t="shared" si="9"/>
        <v>3.50</v>
      </c>
      <c r="T118" s="34" t="str">
        <f t="shared" si="10"/>
        <v>Very Good</v>
      </c>
    </row>
    <row r="119" spans="1:20" x14ac:dyDescent="0.25">
      <c r="A119" s="1" t="s">
        <v>7</v>
      </c>
      <c r="B119" s="29" t="s">
        <v>33</v>
      </c>
      <c r="C119" s="28">
        <v>1.3333333333333333</v>
      </c>
      <c r="D119" s="28">
        <v>1.6666666666666667</v>
      </c>
      <c r="E119" s="28">
        <v>6.666666666666667</v>
      </c>
      <c r="F119" s="28">
        <f>(((SUM(Five_Semester_Financial_Management_System[[#This Row],[Quiz 1]:[Quiz 3]]))/SUM($C$63:$E$63))*$F$63)</f>
        <v>3.2222222222222228</v>
      </c>
      <c r="G119" s="27">
        <f>ROUND(Five_Semester_Financial_Management_System[[#This Row],[Quiz Average]],0)</f>
        <v>3</v>
      </c>
      <c r="H119" s="31">
        <v>5</v>
      </c>
      <c r="I119" s="31">
        <v>4</v>
      </c>
      <c r="J119" s="31">
        <v>5</v>
      </c>
      <c r="K119" s="80">
        <f>SUM(Five_Semester_Financial_Management_System[[#This Row],[Assignment]:[Attendance]])</f>
        <v>14</v>
      </c>
      <c r="L119" s="27">
        <f>ROUND(Five_Semester_Financial_Management_System[[#This Row],[Total out of APA]],0)</f>
        <v>14</v>
      </c>
      <c r="M119" s="28">
        <v>23</v>
      </c>
      <c r="N119" s="28">
        <v>27</v>
      </c>
      <c r="O119" s="28">
        <f>SUM(Five_Semester_Financial_Management_System[[#This Row],[Midterm]:[Final]])</f>
        <v>50</v>
      </c>
      <c r="P119" s="42">
        <f>ROUND(Five_Semester_Financial_Management_System[[#This Row],[Mid &amp; Final]],0)</f>
        <v>50</v>
      </c>
      <c r="Q119" s="42">
        <f t="shared" si="7"/>
        <v>67</v>
      </c>
      <c r="R119" s="46" t="str">
        <f t="shared" si="8"/>
        <v>B+</v>
      </c>
      <c r="S119" s="44" t="str">
        <f t="shared" si="9"/>
        <v>3.25</v>
      </c>
      <c r="T119" s="34" t="str">
        <f t="shared" si="10"/>
        <v>Good</v>
      </c>
    </row>
    <row r="120" spans="1:20" x14ac:dyDescent="0.25">
      <c r="A120" s="1" t="s">
        <v>8</v>
      </c>
      <c r="B120" s="29" t="s">
        <v>34</v>
      </c>
      <c r="C120" s="28">
        <v>3</v>
      </c>
      <c r="D120" s="28">
        <v>9.6666666666666661</v>
      </c>
      <c r="E120" s="28">
        <v>12.333333333333334</v>
      </c>
      <c r="F120" s="28">
        <f>(((SUM(Five_Semester_Financial_Management_System[[#This Row],[Quiz 1]:[Quiz 3]]))/SUM($C$63:$E$63))*$F$63)</f>
        <v>8.3333333333333339</v>
      </c>
      <c r="G120" s="27">
        <f>ROUND(Five_Semester_Financial_Management_System[[#This Row],[Quiz Average]],0)</f>
        <v>8</v>
      </c>
      <c r="H120" s="31">
        <v>2</v>
      </c>
      <c r="I120" s="31">
        <v>5</v>
      </c>
      <c r="J120" s="31">
        <v>2</v>
      </c>
      <c r="K120" s="80">
        <f>SUM(Five_Semester_Financial_Management_System[[#This Row],[Assignment]:[Attendance]])</f>
        <v>9</v>
      </c>
      <c r="L120" s="27">
        <f>ROUND(Five_Semester_Financial_Management_System[[#This Row],[Total out of APA]],0)</f>
        <v>9</v>
      </c>
      <c r="M120" s="28">
        <v>17</v>
      </c>
      <c r="N120" s="28">
        <v>20</v>
      </c>
      <c r="O120" s="28">
        <f>SUM(Five_Semester_Financial_Management_System[[#This Row],[Midterm]:[Final]])</f>
        <v>37</v>
      </c>
      <c r="P120" s="42">
        <f>ROUND(Five_Semester_Financial_Management_System[[#This Row],[Mid &amp; Final]],0)</f>
        <v>37</v>
      </c>
      <c r="Q120" s="42">
        <f t="shared" si="7"/>
        <v>54</v>
      </c>
      <c r="R120" s="46" t="str">
        <f t="shared" si="8"/>
        <v>C+</v>
      </c>
      <c r="S120" s="44" t="str">
        <f t="shared" si="9"/>
        <v>2.50</v>
      </c>
      <c r="T120" s="34" t="str">
        <f t="shared" si="10"/>
        <v>Average</v>
      </c>
    </row>
    <row r="121" spans="1:20" x14ac:dyDescent="0.25">
      <c r="A121" s="1" t="s">
        <v>9</v>
      </c>
      <c r="B121" s="29" t="s">
        <v>35</v>
      </c>
      <c r="C121" s="28">
        <v>14.333333333333334</v>
      </c>
      <c r="D121" s="28">
        <v>5.666666666666667</v>
      </c>
      <c r="E121" s="28">
        <v>3</v>
      </c>
      <c r="F121" s="28">
        <f>(((SUM(Five_Semester_Financial_Management_System[[#This Row],[Quiz 1]:[Quiz 3]]))/SUM($C$63:$E$63))*$F$63)</f>
        <v>7.6666666666666661</v>
      </c>
      <c r="G121" s="27">
        <f>ROUND(Five_Semester_Financial_Management_System[[#This Row],[Quiz Average]],0)</f>
        <v>8</v>
      </c>
      <c r="H121" s="31">
        <v>2</v>
      </c>
      <c r="I121" s="31">
        <v>4</v>
      </c>
      <c r="J121" s="31">
        <v>4</v>
      </c>
      <c r="K121" s="80">
        <f>SUM(Five_Semester_Financial_Management_System[[#This Row],[Assignment]:[Attendance]])</f>
        <v>10</v>
      </c>
      <c r="L121" s="27">
        <f>ROUND(Five_Semester_Financial_Management_System[[#This Row],[Total out of APA]],0)</f>
        <v>10</v>
      </c>
      <c r="M121" s="28">
        <v>24.5</v>
      </c>
      <c r="N121" s="28">
        <v>37.5</v>
      </c>
      <c r="O121" s="28">
        <f>SUM(Five_Semester_Financial_Management_System[[#This Row],[Midterm]:[Final]])</f>
        <v>62</v>
      </c>
      <c r="P121" s="42">
        <f>ROUND(Five_Semester_Financial_Management_System[[#This Row],[Mid &amp; Final]],0)</f>
        <v>62</v>
      </c>
      <c r="Q121" s="42">
        <f t="shared" si="7"/>
        <v>80</v>
      </c>
      <c r="R121" s="46" t="str">
        <f t="shared" si="8"/>
        <v>A+</v>
      </c>
      <c r="S121" s="44" t="str">
        <f t="shared" si="9"/>
        <v>4.00</v>
      </c>
      <c r="T121" s="34" t="str">
        <f t="shared" si="10"/>
        <v>Outstanding</v>
      </c>
    </row>
    <row r="122" spans="1:20" x14ac:dyDescent="0.25">
      <c r="A122" s="1" t="s">
        <v>10</v>
      </c>
      <c r="B122" s="29" t="s">
        <v>36</v>
      </c>
      <c r="C122" s="28">
        <v>13</v>
      </c>
      <c r="D122" s="28">
        <v>2</v>
      </c>
      <c r="E122" s="28">
        <v>4.666666666666667</v>
      </c>
      <c r="F122" s="28">
        <f>(((SUM(Five_Semester_Financial_Management_System[[#This Row],[Quiz 1]:[Quiz 3]]))/SUM($C$63:$E$63))*$F$63)</f>
        <v>6.5555555555555562</v>
      </c>
      <c r="G122" s="27">
        <f>ROUND(Five_Semester_Financial_Management_System[[#This Row],[Quiz Average]],0)</f>
        <v>7</v>
      </c>
      <c r="H122" s="31">
        <v>4</v>
      </c>
      <c r="I122" s="31">
        <v>7</v>
      </c>
      <c r="J122" s="31">
        <v>4</v>
      </c>
      <c r="K122" s="80">
        <f>SUM(Five_Semester_Financial_Management_System[[#This Row],[Assignment]:[Attendance]])</f>
        <v>15</v>
      </c>
      <c r="L122" s="27">
        <f>ROUND(Five_Semester_Financial_Management_System[[#This Row],[Total out of APA]],0)</f>
        <v>15</v>
      </c>
      <c r="M122" s="28">
        <v>15.5</v>
      </c>
      <c r="N122" s="28">
        <v>14.5</v>
      </c>
      <c r="O122" s="28">
        <f>SUM(Five_Semester_Financial_Management_System[[#This Row],[Midterm]:[Final]])</f>
        <v>30</v>
      </c>
      <c r="P122" s="42">
        <f>ROUND(Five_Semester_Financial_Management_System[[#This Row],[Mid &amp; Final]],0)</f>
        <v>30</v>
      </c>
      <c r="Q122" s="42">
        <f t="shared" si="7"/>
        <v>52</v>
      </c>
      <c r="R122" s="46" t="str">
        <f t="shared" si="8"/>
        <v>C+</v>
      </c>
      <c r="S122" s="44" t="str">
        <f t="shared" si="9"/>
        <v>2.50</v>
      </c>
      <c r="T122" s="34" t="str">
        <f t="shared" si="10"/>
        <v>Average</v>
      </c>
    </row>
    <row r="123" spans="1:20" x14ac:dyDescent="0.25">
      <c r="A123" s="6" t="s">
        <v>11</v>
      </c>
      <c r="B123" s="225" t="s">
        <v>31</v>
      </c>
      <c r="C123" s="221"/>
      <c r="D123" s="221"/>
      <c r="E123" s="221"/>
      <c r="F123" s="221"/>
      <c r="G123" s="226"/>
      <c r="H123" s="220"/>
      <c r="I123" s="220"/>
      <c r="J123" s="220"/>
      <c r="K123" s="4"/>
      <c r="L123" s="226"/>
      <c r="M123" s="221"/>
      <c r="N123" s="221"/>
      <c r="O123" s="221"/>
      <c r="P123" s="222"/>
      <c r="Q123" s="222"/>
      <c r="R123" s="223"/>
      <c r="S123" s="224"/>
      <c r="T123" s="219"/>
    </row>
    <row r="124" spans="1:20" x14ac:dyDescent="0.25">
      <c r="A124" s="1" t="s">
        <v>12</v>
      </c>
      <c r="B124" s="29" t="s">
        <v>37</v>
      </c>
      <c r="C124" s="28">
        <v>8</v>
      </c>
      <c r="D124" s="28">
        <v>2</v>
      </c>
      <c r="E124" s="28">
        <v>6.333333333333333</v>
      </c>
      <c r="F124" s="28">
        <f>(((SUM(Five_Semester_Financial_Management_System[[#This Row],[Quiz 1]:[Quiz 3]]))/SUM($C$63:$E$63))*$F$63)</f>
        <v>5.4444444444444438</v>
      </c>
      <c r="G124" s="27">
        <f>ROUND(Five_Semester_Financial_Management_System[[#This Row],[Quiz Average]],0)</f>
        <v>5</v>
      </c>
      <c r="H124" s="31">
        <v>5</v>
      </c>
      <c r="I124" s="31">
        <v>6</v>
      </c>
      <c r="J124" s="31">
        <v>7</v>
      </c>
      <c r="K124" s="80">
        <f>SUM(Five_Semester_Financial_Management_System[[#This Row],[Assignment]:[Attendance]])</f>
        <v>18</v>
      </c>
      <c r="L124" s="27">
        <f>ROUND(Five_Semester_Financial_Management_System[[#This Row],[Total out of APA]],0)</f>
        <v>18</v>
      </c>
      <c r="M124" s="28">
        <v>1.5</v>
      </c>
      <c r="N124" s="28">
        <v>4</v>
      </c>
      <c r="O124" s="28">
        <f>SUM(Five_Semester_Financial_Management_System[[#This Row],[Midterm]:[Final]])</f>
        <v>5.5</v>
      </c>
      <c r="P124" s="42">
        <f>ROUND(Five_Semester_Financial_Management_System[[#This Row],[Mid &amp; Final]],0)</f>
        <v>6</v>
      </c>
      <c r="Q124" s="42">
        <f t="shared" si="7"/>
        <v>29</v>
      </c>
      <c r="R124" s="46" t="str">
        <f t="shared" si="8"/>
        <v>F</v>
      </c>
      <c r="S124" s="44" t="str">
        <f t="shared" si="9"/>
        <v>0.00</v>
      </c>
      <c r="T124" s="34" t="str">
        <f t="shared" si="10"/>
        <v>Fail</v>
      </c>
    </row>
    <row r="125" spans="1:20" x14ac:dyDescent="0.25">
      <c r="A125" s="1" t="s">
        <v>13</v>
      </c>
      <c r="B125" s="29" t="s">
        <v>38</v>
      </c>
      <c r="C125" s="28">
        <v>5.333333333333333</v>
      </c>
      <c r="D125" s="28">
        <v>10.333333333333334</v>
      </c>
      <c r="E125" s="28">
        <v>12.666666666666666</v>
      </c>
      <c r="F125" s="28">
        <f>(((SUM(Five_Semester_Financial_Management_System[[#This Row],[Quiz 1]:[Quiz 3]]))/SUM($C$63:$E$63))*$F$63)</f>
        <v>9.4444444444444446</v>
      </c>
      <c r="G125" s="27">
        <f>ROUND(Five_Semester_Financial_Management_System[[#This Row],[Quiz Average]],0)</f>
        <v>9</v>
      </c>
      <c r="H125" s="31">
        <v>5</v>
      </c>
      <c r="I125" s="31">
        <v>8</v>
      </c>
      <c r="J125" s="31">
        <v>5</v>
      </c>
      <c r="K125" s="80">
        <f>SUM(Five_Semester_Financial_Management_System[[#This Row],[Assignment]:[Attendance]])</f>
        <v>18</v>
      </c>
      <c r="L125" s="27">
        <f>ROUND(Five_Semester_Financial_Management_System[[#This Row],[Total out of APA]],0)</f>
        <v>18</v>
      </c>
      <c r="M125" s="28">
        <v>8.5</v>
      </c>
      <c r="N125" s="28">
        <v>9</v>
      </c>
      <c r="O125" s="28">
        <f>SUM(Five_Semester_Financial_Management_System[[#This Row],[Midterm]:[Final]])</f>
        <v>17.5</v>
      </c>
      <c r="P125" s="42">
        <f>ROUND(Five_Semester_Financial_Management_System[[#This Row],[Mid &amp; Final]],0)</f>
        <v>18</v>
      </c>
      <c r="Q125" s="42">
        <f t="shared" si="7"/>
        <v>45</v>
      </c>
      <c r="R125" s="46" t="str">
        <f t="shared" si="8"/>
        <v>C</v>
      </c>
      <c r="S125" s="44" t="str">
        <f t="shared" si="9"/>
        <v>2.25</v>
      </c>
      <c r="T125" s="34" t="str">
        <f t="shared" si="10"/>
        <v>Bellow Average</v>
      </c>
    </row>
    <row r="126" spans="1:20" x14ac:dyDescent="0.25">
      <c r="A126" s="1" t="s">
        <v>14</v>
      </c>
      <c r="B126" s="29" t="s">
        <v>39</v>
      </c>
      <c r="C126" s="28">
        <v>6.333333333333333</v>
      </c>
      <c r="D126" s="28">
        <v>5.666666666666667</v>
      </c>
      <c r="E126" s="28">
        <v>1.6666666666666667</v>
      </c>
      <c r="F126" s="28">
        <f>(((SUM(Five_Semester_Financial_Management_System[[#This Row],[Quiz 1]:[Quiz 3]]))/SUM($C$63:$E$63))*$F$63)</f>
        <v>4.5555555555555554</v>
      </c>
      <c r="G126" s="27">
        <f>ROUND(Five_Semester_Financial_Management_System[[#This Row],[Quiz Average]],0)</f>
        <v>5</v>
      </c>
      <c r="H126" s="31">
        <v>5</v>
      </c>
      <c r="I126" s="31">
        <v>5</v>
      </c>
      <c r="J126" s="31">
        <v>5</v>
      </c>
      <c r="K126" s="80">
        <f>SUM(Five_Semester_Financial_Management_System[[#This Row],[Assignment]:[Attendance]])</f>
        <v>15</v>
      </c>
      <c r="L126" s="27">
        <f>ROUND(Five_Semester_Financial_Management_System[[#This Row],[Total out of APA]],0)</f>
        <v>15</v>
      </c>
      <c r="M126" s="28">
        <v>7</v>
      </c>
      <c r="N126" s="28">
        <v>9</v>
      </c>
      <c r="O126" s="28">
        <f>SUM(Five_Semester_Financial_Management_System[[#This Row],[Midterm]:[Final]])</f>
        <v>16</v>
      </c>
      <c r="P126" s="42">
        <f>ROUND(Five_Semester_Financial_Management_System[[#This Row],[Mid &amp; Final]],0)</f>
        <v>16</v>
      </c>
      <c r="Q126" s="42">
        <f t="shared" si="7"/>
        <v>36</v>
      </c>
      <c r="R126" s="46" t="str">
        <f t="shared" si="8"/>
        <v>F</v>
      </c>
      <c r="S126" s="44" t="str">
        <f t="shared" si="9"/>
        <v>0.00</v>
      </c>
      <c r="T126" s="34" t="str">
        <f t="shared" si="10"/>
        <v>Fail</v>
      </c>
    </row>
    <row r="127" spans="1:20" x14ac:dyDescent="0.25">
      <c r="A127" s="1" t="s">
        <v>15</v>
      </c>
      <c r="B127" s="29" t="s">
        <v>40</v>
      </c>
      <c r="C127" s="28">
        <v>7.333333333333333</v>
      </c>
      <c r="D127" s="28">
        <v>9.6666666666666661</v>
      </c>
      <c r="E127" s="28">
        <v>3.3333333333333335</v>
      </c>
      <c r="F127" s="28">
        <f>(((SUM(Five_Semester_Financial_Management_System[[#This Row],[Quiz 1]:[Quiz 3]]))/SUM($C$63:$E$63))*$F$63)</f>
        <v>6.7777777777777777</v>
      </c>
      <c r="G127" s="27">
        <f>ROUND(Five_Semester_Financial_Management_System[[#This Row],[Quiz Average]],0)</f>
        <v>7</v>
      </c>
      <c r="H127" s="31">
        <v>3</v>
      </c>
      <c r="I127" s="31">
        <v>8</v>
      </c>
      <c r="J127" s="31">
        <v>2</v>
      </c>
      <c r="K127" s="80">
        <f>SUM(Five_Semester_Financial_Management_System[[#This Row],[Assignment]:[Attendance]])</f>
        <v>13</v>
      </c>
      <c r="L127" s="27">
        <f>ROUND(Five_Semester_Financial_Management_System[[#This Row],[Total out of APA]],0)</f>
        <v>13</v>
      </c>
      <c r="M127" s="28">
        <v>12</v>
      </c>
      <c r="N127" s="28">
        <v>40</v>
      </c>
      <c r="O127" s="28">
        <f>SUM(Five_Semester_Financial_Management_System[[#This Row],[Midterm]:[Final]])</f>
        <v>52</v>
      </c>
      <c r="P127" s="42">
        <f>ROUND(Five_Semester_Financial_Management_System[[#This Row],[Mid &amp; Final]],0)</f>
        <v>52</v>
      </c>
      <c r="Q127" s="42">
        <f t="shared" si="7"/>
        <v>72</v>
      </c>
      <c r="R127" s="46" t="str">
        <f t="shared" si="8"/>
        <v>A-</v>
      </c>
      <c r="S127" s="44" t="str">
        <f t="shared" si="9"/>
        <v>3.50</v>
      </c>
      <c r="T127" s="34" t="str">
        <f t="shared" si="10"/>
        <v>Very Good</v>
      </c>
    </row>
    <row r="128" spans="1:20" x14ac:dyDescent="0.25">
      <c r="A128" s="6" t="s">
        <v>16</v>
      </c>
      <c r="B128" s="225" t="s">
        <v>31</v>
      </c>
      <c r="C128" s="221"/>
      <c r="D128" s="221"/>
      <c r="E128" s="221"/>
      <c r="F128" s="221"/>
      <c r="G128" s="226"/>
      <c r="H128" s="220"/>
      <c r="I128" s="220"/>
      <c r="J128" s="220"/>
      <c r="K128" s="4"/>
      <c r="L128" s="226"/>
      <c r="M128" s="221"/>
      <c r="N128" s="221"/>
      <c r="O128" s="221"/>
      <c r="P128" s="222"/>
      <c r="Q128" s="222"/>
      <c r="R128" s="223"/>
      <c r="S128" s="224"/>
      <c r="T128" s="219"/>
    </row>
    <row r="129" spans="1:20" x14ac:dyDescent="0.25">
      <c r="A129" s="1" t="s">
        <v>17</v>
      </c>
      <c r="B129" s="29" t="s">
        <v>41</v>
      </c>
      <c r="C129" s="28">
        <v>3.6666666666666665</v>
      </c>
      <c r="D129" s="28">
        <v>14</v>
      </c>
      <c r="E129" s="28">
        <v>11.666666666666666</v>
      </c>
      <c r="F129" s="28">
        <f>(((SUM(Five_Semester_Financial_Management_System[[#This Row],[Quiz 1]:[Quiz 3]]))/SUM($C$63:$E$63))*$F$63)</f>
        <v>9.7777777777777786</v>
      </c>
      <c r="G129" s="27">
        <f>ROUND(Five_Semester_Financial_Management_System[[#This Row],[Quiz Average]],0)</f>
        <v>10</v>
      </c>
      <c r="H129" s="31">
        <v>3</v>
      </c>
      <c r="I129" s="31">
        <v>4</v>
      </c>
      <c r="J129" s="31">
        <v>3</v>
      </c>
      <c r="K129" s="80">
        <f>SUM(Five_Semester_Financial_Management_System[[#This Row],[Assignment]:[Attendance]])</f>
        <v>10</v>
      </c>
      <c r="L129" s="27">
        <f>ROUND(Five_Semester_Financial_Management_System[[#This Row],[Total out of APA]],0)</f>
        <v>10</v>
      </c>
      <c r="M129" s="28">
        <v>2</v>
      </c>
      <c r="N129" s="28">
        <v>24.5</v>
      </c>
      <c r="O129" s="28">
        <f>SUM(Five_Semester_Financial_Management_System[[#This Row],[Midterm]:[Final]])</f>
        <v>26.5</v>
      </c>
      <c r="P129" s="42">
        <f>ROUND(Five_Semester_Financial_Management_System[[#This Row],[Mid &amp; Final]],0)</f>
        <v>27</v>
      </c>
      <c r="Q129" s="42">
        <f t="shared" si="7"/>
        <v>47</v>
      </c>
      <c r="R129" s="46" t="str">
        <f t="shared" si="8"/>
        <v>C</v>
      </c>
      <c r="S129" s="44" t="str">
        <f t="shared" si="9"/>
        <v>2.25</v>
      </c>
      <c r="T129" s="34" t="str">
        <f t="shared" si="10"/>
        <v>Bellow Average</v>
      </c>
    </row>
    <row r="130" spans="1:20" x14ac:dyDescent="0.25">
      <c r="A130" s="1" t="s">
        <v>18</v>
      </c>
      <c r="B130" s="29" t="s">
        <v>42</v>
      </c>
      <c r="C130" s="28">
        <v>1.6666666666666667</v>
      </c>
      <c r="D130" s="28">
        <v>2.3333333333333335</v>
      </c>
      <c r="E130" s="28">
        <v>3.6666666666666665</v>
      </c>
      <c r="F130" s="28">
        <f>(((SUM(Five_Semester_Financial_Management_System[[#This Row],[Quiz 1]:[Quiz 3]]))/SUM($C$63:$E$63))*$F$63)</f>
        <v>2.5555555555555554</v>
      </c>
      <c r="G130" s="27">
        <f>ROUND(Five_Semester_Financial_Management_System[[#This Row],[Quiz Average]],0)</f>
        <v>3</v>
      </c>
      <c r="H130" s="31">
        <v>4</v>
      </c>
      <c r="I130" s="31">
        <v>8</v>
      </c>
      <c r="J130" s="31">
        <v>2</v>
      </c>
      <c r="K130" s="80">
        <f>SUM(Five_Semester_Financial_Management_System[[#This Row],[Assignment]:[Attendance]])</f>
        <v>14</v>
      </c>
      <c r="L130" s="27">
        <f>ROUND(Five_Semester_Financial_Management_System[[#This Row],[Total out of APA]],0)</f>
        <v>14</v>
      </c>
      <c r="M130" s="28">
        <v>21</v>
      </c>
      <c r="N130" s="28">
        <v>7.5</v>
      </c>
      <c r="O130" s="28">
        <f>SUM(Five_Semester_Financial_Management_System[[#This Row],[Midterm]:[Final]])</f>
        <v>28.5</v>
      </c>
      <c r="P130" s="42">
        <f>ROUND(Five_Semester_Financial_Management_System[[#This Row],[Mid &amp; Final]],0)</f>
        <v>29</v>
      </c>
      <c r="Q130" s="42">
        <f t="shared" si="7"/>
        <v>46</v>
      </c>
      <c r="R130" s="46" t="str">
        <f t="shared" si="8"/>
        <v>C</v>
      </c>
      <c r="S130" s="44" t="str">
        <f t="shared" si="9"/>
        <v>2.25</v>
      </c>
      <c r="T130" s="34" t="str">
        <f t="shared" si="10"/>
        <v>Bellow Average</v>
      </c>
    </row>
    <row r="131" spans="1:20" x14ac:dyDescent="0.25">
      <c r="A131" s="1" t="s">
        <v>19</v>
      </c>
      <c r="B131" s="29" t="s">
        <v>43</v>
      </c>
      <c r="C131" s="28">
        <v>2.6666666666666665</v>
      </c>
      <c r="D131" s="28">
        <v>7.333333333333333</v>
      </c>
      <c r="E131" s="28">
        <v>7.666666666666667</v>
      </c>
      <c r="F131" s="28">
        <f>(((SUM(Five_Semester_Financial_Management_System[[#This Row],[Quiz 1]:[Quiz 3]]))/SUM($C$63:$E$63))*$F$63)</f>
        <v>5.8888888888888893</v>
      </c>
      <c r="G131" s="27">
        <f>ROUND(Five_Semester_Financial_Management_System[[#This Row],[Quiz Average]],0)</f>
        <v>6</v>
      </c>
      <c r="H131" s="31">
        <v>2</v>
      </c>
      <c r="I131" s="31">
        <v>3</v>
      </c>
      <c r="J131" s="31">
        <v>4</v>
      </c>
      <c r="K131" s="80">
        <f>SUM(Five_Semester_Financial_Management_System[[#This Row],[Assignment]:[Attendance]])</f>
        <v>9</v>
      </c>
      <c r="L131" s="27">
        <f>ROUND(Five_Semester_Financial_Management_System[[#This Row],[Total out of APA]],0)</f>
        <v>9</v>
      </c>
      <c r="M131" s="28">
        <v>11</v>
      </c>
      <c r="N131" s="28">
        <v>18.5</v>
      </c>
      <c r="O131" s="28">
        <f>SUM(Five_Semester_Financial_Management_System[[#This Row],[Midterm]:[Final]])</f>
        <v>29.5</v>
      </c>
      <c r="P131" s="42">
        <f>ROUND(Five_Semester_Financial_Management_System[[#This Row],[Mid &amp; Final]],0)</f>
        <v>30</v>
      </c>
      <c r="Q131" s="42">
        <f t="shared" si="7"/>
        <v>45</v>
      </c>
      <c r="R131" s="46" t="str">
        <f t="shared" si="8"/>
        <v>C</v>
      </c>
      <c r="S131" s="44" t="str">
        <f t="shared" si="9"/>
        <v>2.25</v>
      </c>
      <c r="T131" s="34" t="str">
        <f t="shared" si="10"/>
        <v>Bellow Average</v>
      </c>
    </row>
    <row r="132" spans="1:20" x14ac:dyDescent="0.25">
      <c r="A132" s="1" t="s">
        <v>23</v>
      </c>
      <c r="B132" s="29" t="s">
        <v>44</v>
      </c>
      <c r="C132" s="28">
        <v>11.666666666666666</v>
      </c>
      <c r="D132" s="28">
        <v>13.333333333333334</v>
      </c>
      <c r="E132" s="28">
        <v>12</v>
      </c>
      <c r="F132" s="28">
        <f>(((SUM(Five_Semester_Financial_Management_System[[#This Row],[Quiz 1]:[Quiz 3]]))/SUM($C$63:$E$63))*$F$63)</f>
        <v>12.333333333333332</v>
      </c>
      <c r="G132" s="27">
        <f>ROUND(Five_Semester_Financial_Management_System[[#This Row],[Quiz Average]],0)</f>
        <v>12</v>
      </c>
      <c r="H132" s="31">
        <v>2</v>
      </c>
      <c r="I132" s="31">
        <v>8</v>
      </c>
      <c r="J132" s="31">
        <v>4</v>
      </c>
      <c r="K132" s="80">
        <f>SUM(Five_Semester_Financial_Management_System[[#This Row],[Assignment]:[Attendance]])</f>
        <v>14</v>
      </c>
      <c r="L132" s="27">
        <f>ROUND(Five_Semester_Financial_Management_System[[#This Row],[Total out of APA]],0)</f>
        <v>14</v>
      </c>
      <c r="M132" s="28">
        <v>10</v>
      </c>
      <c r="N132" s="28">
        <v>39.5</v>
      </c>
      <c r="O132" s="28">
        <f>SUM(Five_Semester_Financial_Management_System[[#This Row],[Midterm]:[Final]])</f>
        <v>49.5</v>
      </c>
      <c r="P132" s="42">
        <f>ROUND(Five_Semester_Financial_Management_System[[#This Row],[Mid &amp; Final]],0)</f>
        <v>50</v>
      </c>
      <c r="Q132" s="42">
        <f t="shared" si="7"/>
        <v>76</v>
      </c>
      <c r="R132" s="46" t="str">
        <f t="shared" si="8"/>
        <v>A</v>
      </c>
      <c r="S132" s="44" t="str">
        <f t="shared" si="9"/>
        <v>3.75</v>
      </c>
      <c r="T132" s="34" t="str">
        <f t="shared" si="10"/>
        <v>Excellent</v>
      </c>
    </row>
    <row r="133" spans="1:20" x14ac:dyDescent="0.25">
      <c r="A133" s="1" t="s">
        <v>24</v>
      </c>
      <c r="B133" s="29" t="s">
        <v>45</v>
      </c>
      <c r="C133" s="28">
        <v>13.333333333333334</v>
      </c>
      <c r="D133" s="28">
        <v>2.3333333333333335</v>
      </c>
      <c r="E133" s="28">
        <v>1.6666666666666667</v>
      </c>
      <c r="F133" s="28">
        <f>(((SUM(Five_Semester_Financial_Management_System[[#This Row],[Quiz 1]:[Quiz 3]]))/SUM($C$63:$E$63))*$F$63)</f>
        <v>5.7777777777777786</v>
      </c>
      <c r="G133" s="27">
        <f>ROUND(Five_Semester_Financial_Management_System[[#This Row],[Quiz Average]],0)</f>
        <v>6</v>
      </c>
      <c r="H133" s="31">
        <v>3</v>
      </c>
      <c r="I133" s="31">
        <v>3</v>
      </c>
      <c r="J133" s="31">
        <v>4</v>
      </c>
      <c r="K133" s="80">
        <f>SUM(Five_Semester_Financial_Management_System[[#This Row],[Assignment]:[Attendance]])</f>
        <v>10</v>
      </c>
      <c r="L133" s="27">
        <f>ROUND(Five_Semester_Financial_Management_System[[#This Row],[Total out of APA]],0)</f>
        <v>10</v>
      </c>
      <c r="M133" s="28">
        <v>22</v>
      </c>
      <c r="N133" s="28">
        <v>25.5</v>
      </c>
      <c r="O133" s="28">
        <f>SUM(Five_Semester_Financial_Management_System[[#This Row],[Midterm]:[Final]])</f>
        <v>47.5</v>
      </c>
      <c r="P133" s="42">
        <f>ROUND(Five_Semester_Financial_Management_System[[#This Row],[Mid &amp; Final]],0)</f>
        <v>48</v>
      </c>
      <c r="Q133" s="42">
        <f t="shared" si="7"/>
        <v>64</v>
      </c>
      <c r="R133" s="46" t="str">
        <f t="shared" si="8"/>
        <v>B</v>
      </c>
      <c r="S133" s="44" t="str">
        <f t="shared" si="9"/>
        <v>3.00</v>
      </c>
      <c r="T133" s="34" t="str">
        <f t="shared" si="10"/>
        <v>Satisfactory</v>
      </c>
    </row>
    <row r="134" spans="1:20" x14ac:dyDescent="0.25">
      <c r="A134" s="1" t="s">
        <v>25</v>
      </c>
      <c r="B134" s="29" t="s">
        <v>46</v>
      </c>
      <c r="C134" s="28">
        <v>4.333333333333333</v>
      </c>
      <c r="D134" s="28">
        <v>11.666666666666666</v>
      </c>
      <c r="E134" s="28">
        <v>13</v>
      </c>
      <c r="F134" s="28">
        <f>(((SUM(Five_Semester_Financial_Management_System[[#This Row],[Quiz 1]:[Quiz 3]]))/SUM($C$63:$E$63))*$F$63)</f>
        <v>9.6666666666666679</v>
      </c>
      <c r="G134" s="27">
        <f>ROUND(Five_Semester_Financial_Management_System[[#This Row],[Quiz Average]],0)</f>
        <v>10</v>
      </c>
      <c r="H134" s="31">
        <v>5</v>
      </c>
      <c r="I134" s="31">
        <v>5</v>
      </c>
      <c r="J134" s="31">
        <v>7</v>
      </c>
      <c r="K134" s="80">
        <f>SUM(Five_Semester_Financial_Management_System[[#This Row],[Assignment]:[Attendance]])</f>
        <v>17</v>
      </c>
      <c r="L134" s="27">
        <f>ROUND(Five_Semester_Financial_Management_System[[#This Row],[Total out of APA]],0)</f>
        <v>17</v>
      </c>
      <c r="M134" s="28">
        <v>15.5</v>
      </c>
      <c r="N134" s="28">
        <v>37</v>
      </c>
      <c r="O134" s="28">
        <f>SUM(Five_Semester_Financial_Management_System[[#This Row],[Midterm]:[Final]])</f>
        <v>52.5</v>
      </c>
      <c r="P134" s="42">
        <f>ROUND(Five_Semester_Financial_Management_System[[#This Row],[Mid &amp; Final]],0)</f>
        <v>53</v>
      </c>
      <c r="Q134" s="42">
        <f t="shared" si="7"/>
        <v>80</v>
      </c>
      <c r="R134" s="46" t="str">
        <f t="shared" si="8"/>
        <v>A+</v>
      </c>
      <c r="S134" s="44" t="str">
        <f t="shared" si="9"/>
        <v>4.00</v>
      </c>
      <c r="T134" s="34" t="str">
        <f t="shared" si="10"/>
        <v>Outstanding</v>
      </c>
    </row>
    <row r="135" spans="1:20" x14ac:dyDescent="0.25">
      <c r="A135" s="1" t="s">
        <v>26</v>
      </c>
      <c r="B135" s="29" t="s">
        <v>47</v>
      </c>
      <c r="C135" s="28">
        <v>6.333333333333333</v>
      </c>
      <c r="D135" s="28">
        <v>13.333333333333334</v>
      </c>
      <c r="E135" s="28">
        <v>3.6666666666666665</v>
      </c>
      <c r="F135" s="28">
        <f>(((SUM(Five_Semester_Financial_Management_System[[#This Row],[Quiz 1]:[Quiz 3]]))/SUM($C$63:$E$63))*$F$63)</f>
        <v>7.7777777777777786</v>
      </c>
      <c r="G135" s="27">
        <f>ROUND(Five_Semester_Financial_Management_System[[#This Row],[Quiz Average]],0)</f>
        <v>8</v>
      </c>
      <c r="H135" s="31">
        <v>5</v>
      </c>
      <c r="I135" s="31">
        <v>2</v>
      </c>
      <c r="J135" s="31">
        <v>5</v>
      </c>
      <c r="K135" s="80">
        <f>SUM(Five_Semester_Financial_Management_System[[#This Row],[Assignment]:[Attendance]])</f>
        <v>12</v>
      </c>
      <c r="L135" s="27">
        <f>ROUND(Five_Semester_Financial_Management_System[[#This Row],[Total out of APA]],0)</f>
        <v>12</v>
      </c>
      <c r="M135" s="28">
        <v>4.5</v>
      </c>
      <c r="N135" s="28">
        <v>4</v>
      </c>
      <c r="O135" s="28">
        <f>SUM(Five_Semester_Financial_Management_System[[#This Row],[Midterm]:[Final]])</f>
        <v>8.5</v>
      </c>
      <c r="P135" s="42">
        <f>ROUND(Five_Semester_Financial_Management_System[[#This Row],[Mid &amp; Final]],0)</f>
        <v>9</v>
      </c>
      <c r="Q135" s="42">
        <f t="shared" si="7"/>
        <v>29</v>
      </c>
      <c r="R135" s="46" t="str">
        <f t="shared" si="8"/>
        <v>F</v>
      </c>
      <c r="S135" s="44" t="str">
        <f t="shared" si="9"/>
        <v>0.00</v>
      </c>
      <c r="T135" s="34" t="str">
        <f t="shared" si="10"/>
        <v>Fail</v>
      </c>
    </row>
    <row r="136" spans="1:20" x14ac:dyDescent="0.25">
      <c r="A136" s="1" t="s">
        <v>50</v>
      </c>
      <c r="B136" s="29" t="s">
        <v>51</v>
      </c>
      <c r="C136" s="28">
        <v>6</v>
      </c>
      <c r="D136" s="28">
        <v>4.333333333333333</v>
      </c>
      <c r="E136" s="28">
        <v>15</v>
      </c>
      <c r="F136" s="28">
        <f>(((SUM(Five_Semester_Financial_Management_System[[#This Row],[Quiz 1]:[Quiz 3]]))/SUM($C$63:$E$63))*$F$63)</f>
        <v>8.4444444444444429</v>
      </c>
      <c r="G136" s="27">
        <f>ROUND(Five_Semester_Financial_Management_System[[#This Row],[Quiz Average]],0)</f>
        <v>8</v>
      </c>
      <c r="H136" s="31">
        <v>3</v>
      </c>
      <c r="I136" s="31">
        <v>2</v>
      </c>
      <c r="J136" s="31">
        <v>5</v>
      </c>
      <c r="K136" s="80">
        <f>SUM(Five_Semester_Financial_Management_System[[#This Row],[Assignment]:[Attendance]])</f>
        <v>10</v>
      </c>
      <c r="L136" s="27">
        <f>ROUND(Five_Semester_Financial_Management_System[[#This Row],[Total out of APA]],0)</f>
        <v>10</v>
      </c>
      <c r="M136" s="28">
        <v>3</v>
      </c>
      <c r="N136" s="28">
        <v>20</v>
      </c>
      <c r="O136" s="28">
        <f>SUM(Five_Semester_Financial_Management_System[[#This Row],[Midterm]:[Final]])</f>
        <v>23</v>
      </c>
      <c r="P136" s="42">
        <f>ROUND(Five_Semester_Financial_Management_System[[#This Row],[Mid &amp; Final]],0)</f>
        <v>23</v>
      </c>
      <c r="Q136" s="42">
        <f t="shared" si="7"/>
        <v>41</v>
      </c>
      <c r="R136" s="46" t="str">
        <f t="shared" si="8"/>
        <v>D</v>
      </c>
      <c r="S136" s="44" t="str">
        <f t="shared" si="9"/>
        <v>2.00</v>
      </c>
      <c r="T136" s="34" t="str">
        <f t="shared" si="10"/>
        <v>Pass</v>
      </c>
    </row>
    <row r="137" spans="1:20" x14ac:dyDescent="0.25">
      <c r="A137" s="1" t="s">
        <v>53</v>
      </c>
      <c r="B137" s="29" t="s">
        <v>54</v>
      </c>
      <c r="C137" s="28">
        <v>8</v>
      </c>
      <c r="D137" s="28">
        <v>4.333333333333333</v>
      </c>
      <c r="E137" s="28">
        <v>4.666666666666667</v>
      </c>
      <c r="F137" s="28">
        <f>(((SUM(Five_Semester_Financial_Management_System[[#This Row],[Quiz 1]:[Quiz 3]]))/SUM($C$63:$E$63))*$F$63)</f>
        <v>5.6666666666666661</v>
      </c>
      <c r="G137" s="27">
        <f>ROUND(Five_Semester_Financial_Management_System[[#This Row],[Quiz Average]],0)</f>
        <v>6</v>
      </c>
      <c r="H137" s="31">
        <v>3</v>
      </c>
      <c r="I137" s="31">
        <v>4</v>
      </c>
      <c r="J137" s="31">
        <v>4</v>
      </c>
      <c r="K137" s="80">
        <f>SUM(Five_Semester_Financial_Management_System[[#This Row],[Assignment]:[Attendance]])</f>
        <v>11</v>
      </c>
      <c r="L137" s="27">
        <f>ROUND(Five_Semester_Financial_Management_System[[#This Row],[Total out of APA]],0)</f>
        <v>11</v>
      </c>
      <c r="M137" s="28">
        <v>4.5</v>
      </c>
      <c r="N137" s="28">
        <v>7</v>
      </c>
      <c r="O137" s="28">
        <f>SUM(Five_Semester_Financial_Management_System[[#This Row],[Midterm]:[Final]])</f>
        <v>11.5</v>
      </c>
      <c r="P137" s="42">
        <f>ROUND(Five_Semester_Financial_Management_System[[#This Row],[Mid &amp; Final]],0)</f>
        <v>12</v>
      </c>
      <c r="Q137" s="42">
        <f t="shared" si="7"/>
        <v>29</v>
      </c>
      <c r="R137" s="46" t="str">
        <f t="shared" si="8"/>
        <v>F</v>
      </c>
      <c r="S137" s="44" t="str">
        <f t="shared" si="9"/>
        <v>0.00</v>
      </c>
      <c r="T137" s="34" t="str">
        <f t="shared" si="10"/>
        <v>Fail</v>
      </c>
    </row>
    <row r="138" spans="1:20" ht="15.75" thickBot="1" x14ac:dyDescent="0.3">
      <c r="A138" s="35" t="s">
        <v>60</v>
      </c>
      <c r="B138" s="36" t="s">
        <v>61</v>
      </c>
      <c r="C138" s="37">
        <v>6.666666666666667</v>
      </c>
      <c r="D138" s="37">
        <v>14</v>
      </c>
      <c r="E138" s="37">
        <v>7</v>
      </c>
      <c r="F138" s="37">
        <f>(((SUM(Five_Semester_Financial_Management_System[[#This Row],[Quiz 1]:[Quiz 3]]))/SUM($C$63:$E$63))*$F$63)</f>
        <v>9.2222222222222214</v>
      </c>
      <c r="G138" s="38">
        <f>ROUND(Five_Semester_Financial_Management_System[[#This Row],[Quiz Average]],0)</f>
        <v>9</v>
      </c>
      <c r="H138" s="39">
        <v>5</v>
      </c>
      <c r="I138" s="39">
        <v>2</v>
      </c>
      <c r="J138" s="39">
        <v>6</v>
      </c>
      <c r="K138" s="40">
        <f>SUM(Five_Semester_Financial_Management_System[[#This Row],[Assignment]:[Attendance]])</f>
        <v>13</v>
      </c>
      <c r="L138" s="38">
        <f>ROUND(Five_Semester_Financial_Management_System[[#This Row],[Total out of APA]],0)</f>
        <v>13</v>
      </c>
      <c r="M138" s="37">
        <v>7.5</v>
      </c>
      <c r="N138" s="37">
        <v>4.5</v>
      </c>
      <c r="O138" s="37">
        <f>SUM(Five_Semester_Financial_Management_System[[#This Row],[Midterm]:[Final]])</f>
        <v>12</v>
      </c>
      <c r="P138" s="43">
        <f>ROUND(Five_Semester_Financial_Management_System[[#This Row],[Mid &amp; Final]],0)</f>
        <v>12</v>
      </c>
      <c r="Q138" s="59">
        <f t="shared" si="7"/>
        <v>34</v>
      </c>
      <c r="R138" s="47" t="str">
        <f t="shared" si="8"/>
        <v>F</v>
      </c>
      <c r="S138" s="45" t="str">
        <f t="shared" si="9"/>
        <v>0.00</v>
      </c>
      <c r="T138" s="41" t="str">
        <f t="shared" si="10"/>
        <v>Fail</v>
      </c>
    </row>
    <row r="139" spans="1:20" x14ac:dyDescent="0.25">
      <c r="A139" s="68"/>
      <c r="B139" s="68"/>
      <c r="C139" s="30"/>
      <c r="D139" s="30"/>
      <c r="E139" s="30"/>
      <c r="F139" s="30"/>
      <c r="G139" s="69"/>
      <c r="H139" s="71"/>
      <c r="I139" s="71"/>
      <c r="J139" s="71"/>
      <c r="K139" s="69"/>
      <c r="L139" s="69"/>
      <c r="M139" s="30"/>
      <c r="N139" s="30"/>
      <c r="O139" s="30"/>
      <c r="P139" s="70"/>
      <c r="Q139" s="70"/>
      <c r="R139" s="30"/>
      <c r="S139" s="30"/>
      <c r="T139" s="30"/>
    </row>
    <row r="140" spans="1:20" x14ac:dyDescent="0.25">
      <c r="A140" s="68"/>
      <c r="B140" s="68"/>
      <c r="C140" s="30"/>
      <c r="D140" s="30"/>
      <c r="E140" s="30"/>
      <c r="F140" s="30"/>
      <c r="G140" s="69"/>
      <c r="H140" s="71"/>
      <c r="I140" s="71"/>
      <c r="J140" s="71"/>
      <c r="K140" s="69"/>
      <c r="L140" s="69"/>
      <c r="M140" s="30"/>
      <c r="N140" s="30"/>
      <c r="O140" s="30"/>
      <c r="P140" s="70"/>
      <c r="Q140" s="70"/>
      <c r="R140" s="30"/>
      <c r="S140" s="30"/>
      <c r="T140" s="30"/>
    </row>
    <row r="141" spans="1:20" x14ac:dyDescent="0.25">
      <c r="A141" s="68"/>
      <c r="B141" s="68"/>
      <c r="C141" s="30"/>
      <c r="D141" s="30"/>
      <c r="E141" s="30"/>
      <c r="F141" s="30"/>
      <c r="G141" s="69"/>
      <c r="H141" s="71"/>
      <c r="I141" s="71"/>
      <c r="J141" s="71"/>
      <c r="K141" s="69"/>
      <c r="L141" s="69"/>
      <c r="M141" s="30"/>
      <c r="N141" s="30"/>
      <c r="O141" s="30"/>
      <c r="P141" s="70"/>
      <c r="Q141" s="70"/>
      <c r="R141" s="30"/>
      <c r="S141" s="30"/>
      <c r="T141" s="30"/>
    </row>
    <row r="142" spans="1:20" x14ac:dyDescent="0.25">
      <c r="A142" s="68"/>
      <c r="B142" s="68"/>
      <c r="C142" s="30"/>
      <c r="D142" s="30"/>
      <c r="E142" s="30"/>
      <c r="F142" s="30"/>
      <c r="G142" s="69"/>
      <c r="H142" s="71"/>
      <c r="I142" s="71"/>
      <c r="J142" s="71"/>
      <c r="K142" s="69"/>
      <c r="L142" s="69"/>
      <c r="M142" s="30"/>
      <c r="N142" s="30"/>
      <c r="O142" s="30"/>
      <c r="P142" s="70"/>
      <c r="Q142" s="70"/>
      <c r="R142" s="30"/>
      <c r="S142" s="30"/>
      <c r="T142" s="30"/>
    </row>
    <row r="143" spans="1:20" x14ac:dyDescent="0.25">
      <c r="A143" s="68"/>
      <c r="B143" s="68"/>
      <c r="C143" s="30"/>
      <c r="D143" s="30"/>
      <c r="E143" s="30"/>
      <c r="F143" s="30"/>
      <c r="G143" s="69"/>
      <c r="H143" s="71"/>
      <c r="I143" s="71"/>
      <c r="J143" s="71"/>
      <c r="K143" s="69"/>
      <c r="L143" s="69"/>
      <c r="M143" s="30"/>
      <c r="N143" s="30"/>
      <c r="O143" s="30"/>
      <c r="P143" s="70"/>
      <c r="Q143" s="70"/>
      <c r="R143" s="30"/>
      <c r="S143" s="30"/>
      <c r="T143" s="30"/>
    </row>
    <row r="144" spans="1:20" x14ac:dyDescent="0.25">
      <c r="A144" s="68"/>
      <c r="B144" s="68"/>
      <c r="C144" s="30"/>
      <c r="D144" s="30"/>
      <c r="E144" s="30"/>
      <c r="F144" s="30"/>
      <c r="G144" s="69"/>
      <c r="H144" s="71"/>
      <c r="I144" s="71"/>
      <c r="J144" s="71"/>
      <c r="K144" s="69"/>
      <c r="L144" s="69"/>
      <c r="M144" s="30"/>
      <c r="N144" s="30"/>
      <c r="O144" s="30"/>
      <c r="P144" s="70"/>
      <c r="Q144" s="70"/>
      <c r="R144" s="30"/>
      <c r="S144" s="30"/>
      <c r="T144" s="30"/>
    </row>
    <row r="154" spans="1:20" ht="27" customHeight="1" x14ac:dyDescent="0.25">
      <c r="A154" s="293" t="s">
        <v>163</v>
      </c>
      <c r="B154" s="293"/>
      <c r="C154" s="56" t="s">
        <v>165</v>
      </c>
      <c r="D154" s="56"/>
      <c r="E154" s="56"/>
      <c r="F154" s="294" t="s">
        <v>421</v>
      </c>
      <c r="G154" s="294"/>
      <c r="H154" s="294"/>
      <c r="I154" s="294"/>
      <c r="J154" s="294"/>
      <c r="K154" s="294"/>
      <c r="L154" s="294"/>
      <c r="M154" s="56"/>
      <c r="N154" s="56"/>
      <c r="O154" s="64" t="s">
        <v>167</v>
      </c>
      <c r="P154" s="65">
        <v>44774</v>
      </c>
      <c r="Q154" s="56"/>
      <c r="R154" s="56"/>
    </row>
    <row r="155" spans="1:20" ht="27" customHeight="1" thickBot="1" x14ac:dyDescent="0.3">
      <c r="A155" s="296" t="s">
        <v>164</v>
      </c>
      <c r="B155" s="296"/>
      <c r="C155" s="63" t="s">
        <v>166</v>
      </c>
      <c r="D155" s="63"/>
      <c r="E155" s="62"/>
      <c r="F155" s="295"/>
      <c r="G155" s="295"/>
      <c r="H155" s="295"/>
      <c r="I155" s="295"/>
      <c r="J155" s="295"/>
      <c r="K155" s="295"/>
      <c r="L155" s="295"/>
      <c r="M155" s="32"/>
      <c r="N155" s="32"/>
      <c r="O155" s="72" t="s">
        <v>168</v>
      </c>
      <c r="P155" s="73">
        <v>0.91666666666666663</v>
      </c>
      <c r="Q155" s="9"/>
      <c r="R155" s="9"/>
    </row>
    <row r="156" spans="1:20" x14ac:dyDescent="0.25">
      <c r="A156" s="58" t="s">
        <v>0</v>
      </c>
      <c r="B156" s="57" t="s">
        <v>20</v>
      </c>
      <c r="C156" s="98" t="s">
        <v>132</v>
      </c>
      <c r="D156" s="98" t="s">
        <v>133</v>
      </c>
      <c r="E156" s="80" t="s">
        <v>134</v>
      </c>
      <c r="F156" s="80" t="s">
        <v>135</v>
      </c>
      <c r="G156" s="27" t="s">
        <v>136</v>
      </c>
      <c r="H156" s="80" t="s">
        <v>139</v>
      </c>
      <c r="I156" s="80" t="s">
        <v>137</v>
      </c>
      <c r="J156" s="80" t="s">
        <v>144</v>
      </c>
      <c r="K156" s="80" t="s">
        <v>169</v>
      </c>
      <c r="L156" s="60" t="s">
        <v>170</v>
      </c>
      <c r="M156" s="75" t="s">
        <v>147</v>
      </c>
      <c r="N156" s="48" t="s">
        <v>148</v>
      </c>
      <c r="O156" s="48" t="s">
        <v>149</v>
      </c>
      <c r="P156" s="77" t="s">
        <v>150</v>
      </c>
      <c r="Q156" s="9"/>
      <c r="R156" s="9"/>
      <c r="S156" s="9"/>
      <c r="T156" s="9"/>
    </row>
    <row r="157" spans="1:20" x14ac:dyDescent="0.25">
      <c r="A157" s="15"/>
      <c r="B157" s="49" t="s">
        <v>142</v>
      </c>
      <c r="C157" s="50">
        <v>15</v>
      </c>
      <c r="D157" s="50">
        <v>15</v>
      </c>
      <c r="E157" s="50">
        <v>15</v>
      </c>
      <c r="F157" s="51">
        <v>15</v>
      </c>
      <c r="G157" s="52">
        <v>15</v>
      </c>
      <c r="H157" s="50">
        <v>10</v>
      </c>
      <c r="I157" s="50">
        <v>35</v>
      </c>
      <c r="J157" s="50">
        <v>40</v>
      </c>
      <c r="K157" s="53">
        <v>75</v>
      </c>
      <c r="L157" s="54">
        <v>75</v>
      </c>
      <c r="M157" s="55">
        <v>100</v>
      </c>
      <c r="N157" s="55" t="s">
        <v>151</v>
      </c>
      <c r="O157" s="54" t="s">
        <v>152</v>
      </c>
      <c r="P157" s="78" t="s">
        <v>153</v>
      </c>
    </row>
    <row r="158" spans="1:20" x14ac:dyDescent="0.25">
      <c r="A158" s="1" t="s">
        <v>57</v>
      </c>
      <c r="B158" s="29" t="s">
        <v>58</v>
      </c>
      <c r="C158" s="28">
        <v>6.666666666666667</v>
      </c>
      <c r="D158" s="28">
        <v>13.333333333333334</v>
      </c>
      <c r="E158" s="28">
        <v>4.333333333333333</v>
      </c>
      <c r="F158" s="28">
        <f>(((SUM(Five_Semester_Database_Management_System[[#This Row],[Quiz 1]:[Quiz 3]]))/SUM($C$63:$E$63))*$F$63)</f>
        <v>8.1111111111111107</v>
      </c>
      <c r="G158" s="27">
        <f>ROUND(Five_Semester_Database_Management_System[[#This Row],[Quiz Average]],0)</f>
        <v>8</v>
      </c>
      <c r="H158" s="31">
        <v>5</v>
      </c>
      <c r="I158" s="28">
        <v>17</v>
      </c>
      <c r="J158" s="28">
        <v>38.5</v>
      </c>
      <c r="K158" s="28">
        <f>SUM(Five_Semester_Database_Management_System[[#This Row],[Assignment]:[Final]])</f>
        <v>55.5</v>
      </c>
      <c r="L158" s="42">
        <f>ROUND(Five_Semester_Database_Management_System[[#This Row],[Ass &amp; Final]],0)</f>
        <v>56</v>
      </c>
      <c r="M158" s="42">
        <f>SUM(G158,H158,L158)</f>
        <v>69</v>
      </c>
      <c r="N158" s="46" t="str">
        <f>IF(M158&gt;79,"A+",IF(M158&gt;74,"A",IF(M158&gt;69,"A-",IF(M158&gt;64,"B+",IF(M158&gt;59,"B",IF(M158&gt;54,"B-",IF(M158&gt;49,"C+",IF(M158&gt;44,"C",IF(M158&gt;39,"D",IF(M158&gt;0,"F","N/A"))))))))))</f>
        <v>B+</v>
      </c>
      <c r="O158" s="44" t="str">
        <f>IF(M158&gt;79,"4.00",IF(M158&gt;74,"3.75",IF(M158&gt;69,"3.50",IF(M158&gt;64,"3.25",IF(M158&gt;59,"3.00",IF(M158&gt;54,"2.75",IF(M158&gt;49,"2.50",IF(M158&gt;44,"2.25",IF(M158&gt;39,"2.00",IF(M158&gt;0,"0.00","N/A"))))))))))</f>
        <v>3.25</v>
      </c>
      <c r="P158" s="79" t="str">
        <f>IF(M158&gt;79,"Outstanding",IF(M158&gt;74,"Excellent",IF(M158&gt;69,"Very Good",IF(M158&gt;64,"Good",IF(M158&gt;59,"Satisfactory",IF(M158&gt;54,"Above Average",IF(M158&gt;49,"Average",IF(M158&gt;44,"Bellow Average",IF(M158&gt;39,"Pass",IF(M158&gt;0,"Fail","N/A"))))))))))</f>
        <v>Good</v>
      </c>
    </row>
    <row r="159" spans="1:20" x14ac:dyDescent="0.25">
      <c r="A159" s="1" t="s">
        <v>56</v>
      </c>
      <c r="B159" s="29" t="s">
        <v>59</v>
      </c>
      <c r="C159" s="28">
        <v>7.666666666666667</v>
      </c>
      <c r="D159" s="28">
        <v>4.333333333333333</v>
      </c>
      <c r="E159" s="28">
        <v>13.666666666666666</v>
      </c>
      <c r="F159" s="28">
        <f>(((SUM(Five_Semester_Database_Management_System[[#This Row],[Quiz 1]:[Quiz 3]]))/SUM($C$63:$E$63))*$F$63)</f>
        <v>8.5555555555555554</v>
      </c>
      <c r="G159" s="27">
        <f>ROUND(Five_Semester_Database_Management_System[[#This Row],[Quiz Average]],0)</f>
        <v>9</v>
      </c>
      <c r="H159" s="31">
        <v>7</v>
      </c>
      <c r="I159" s="28">
        <v>20.5</v>
      </c>
      <c r="J159" s="28">
        <v>17</v>
      </c>
      <c r="K159" s="28">
        <f>SUM(Five_Semester_Database_Management_System[[#This Row],[Assignment]:[Final]])</f>
        <v>37.5</v>
      </c>
      <c r="L159" s="42">
        <f>ROUND(Five_Semester_Database_Management_System[[#This Row],[Ass &amp; Final]],0)</f>
        <v>38</v>
      </c>
      <c r="M159" s="42">
        <f t="shared" ref="M159:M185" si="11">SUM(G159,H159,L159)</f>
        <v>54</v>
      </c>
      <c r="N159" s="46" t="str">
        <f t="shared" ref="N159:N185" si="12">IF(M159&gt;79,"A+",IF(M159&gt;74,"A",IF(M159&gt;69,"A-",IF(M159&gt;64,"B+",IF(M159&gt;59,"B",IF(M159&gt;54,"B-",IF(M159&gt;49,"C+",IF(M159&gt;44,"C",IF(M159&gt;39,"D",IF(M159&gt;0,"F","N/A"))))))))))</f>
        <v>C+</v>
      </c>
      <c r="O159" s="44" t="str">
        <f t="shared" ref="O159:O185" si="13">IF(M159&gt;79,"4.00",IF(M159&gt;74,"3.75",IF(M159&gt;69,"3.50",IF(M159&gt;64,"3.25",IF(M159&gt;59,"3.00",IF(M159&gt;54,"2.75",IF(M159&gt;49,"2.50",IF(M159&gt;44,"2.25",IF(M159&gt;39,"2.00",IF(M159&gt;0,"0.00","N/A"))))))))))</f>
        <v>2.50</v>
      </c>
      <c r="P159" s="79" t="str">
        <f t="shared" ref="P159:P185" si="14">IF(M159&gt;79,"Outstanding",IF(M159&gt;74,"Excellent",IF(M159&gt;69,"Very Good",IF(M159&gt;64,"Good",IF(M159&gt;59,"Satisfactory",IF(M159&gt;54,"Above Average",IF(M159&gt;49,"Average",IF(M159&gt;44,"Bellow Average",IF(M159&gt;39,"Pass",IF(M159&gt;0,"Fail","N/A"))))))))))</f>
        <v>Average</v>
      </c>
    </row>
    <row r="160" spans="1:20" x14ac:dyDescent="0.25">
      <c r="A160" s="1" t="s">
        <v>1</v>
      </c>
      <c r="B160" s="29" t="s">
        <v>27</v>
      </c>
      <c r="C160" s="28">
        <v>7.666666666666667</v>
      </c>
      <c r="D160" s="28">
        <v>3.6666666666666665</v>
      </c>
      <c r="E160" s="28">
        <v>14</v>
      </c>
      <c r="F160" s="28">
        <f>(((SUM(Five_Semester_Database_Management_System[[#This Row],[Quiz 1]:[Quiz 3]]))/SUM($C$63:$E$63))*$F$63)</f>
        <v>8.4444444444444446</v>
      </c>
      <c r="G160" s="27">
        <f>ROUND(Five_Semester_Database_Management_System[[#This Row],[Quiz Average]],0)</f>
        <v>8</v>
      </c>
      <c r="H160" s="31">
        <v>9</v>
      </c>
      <c r="I160" s="28">
        <v>12</v>
      </c>
      <c r="J160" s="28">
        <v>1.5</v>
      </c>
      <c r="K160" s="28">
        <f>SUM(Five_Semester_Database_Management_System[[#This Row],[Assignment]:[Final]])</f>
        <v>13.5</v>
      </c>
      <c r="L160" s="42">
        <f>ROUND(Five_Semester_Database_Management_System[[#This Row],[Ass &amp; Final]],0)</f>
        <v>14</v>
      </c>
      <c r="M160" s="42">
        <f t="shared" si="11"/>
        <v>31</v>
      </c>
      <c r="N160" s="46" t="str">
        <f t="shared" si="12"/>
        <v>F</v>
      </c>
      <c r="O160" s="44" t="str">
        <f t="shared" si="13"/>
        <v>0.00</v>
      </c>
      <c r="P160" s="34" t="str">
        <f t="shared" si="14"/>
        <v>Fail</v>
      </c>
    </row>
    <row r="161" spans="1:16" x14ac:dyDescent="0.25">
      <c r="A161" s="1" t="s">
        <v>2</v>
      </c>
      <c r="B161" s="29" t="s">
        <v>28</v>
      </c>
      <c r="C161" s="28">
        <v>8.6666666666666661</v>
      </c>
      <c r="D161" s="28">
        <v>5</v>
      </c>
      <c r="E161" s="28">
        <v>11</v>
      </c>
      <c r="F161" s="28">
        <f>(((SUM(Five_Semester_Database_Management_System[[#This Row],[Quiz 1]:[Quiz 3]]))/SUM($C$63:$E$63))*$F$63)</f>
        <v>8.2222222222222214</v>
      </c>
      <c r="G161" s="27">
        <f>ROUND(Five_Semester_Database_Management_System[[#This Row],[Quiz Average]],0)</f>
        <v>8</v>
      </c>
      <c r="H161" s="31">
        <v>2</v>
      </c>
      <c r="I161" s="28">
        <v>28.5</v>
      </c>
      <c r="J161" s="28">
        <v>6</v>
      </c>
      <c r="K161" s="28">
        <f>SUM(Five_Semester_Database_Management_System[[#This Row],[Assignment]:[Final]])</f>
        <v>34.5</v>
      </c>
      <c r="L161" s="42">
        <f>ROUND(Five_Semester_Database_Management_System[[#This Row],[Ass &amp; Final]],0)</f>
        <v>35</v>
      </c>
      <c r="M161" s="42">
        <f t="shared" si="11"/>
        <v>45</v>
      </c>
      <c r="N161" s="46" t="str">
        <f t="shared" si="12"/>
        <v>C</v>
      </c>
      <c r="O161" s="44" t="str">
        <f t="shared" si="13"/>
        <v>2.25</v>
      </c>
      <c r="P161" s="34" t="str">
        <f t="shared" si="14"/>
        <v>Bellow Average</v>
      </c>
    </row>
    <row r="162" spans="1:16" x14ac:dyDescent="0.25">
      <c r="A162" s="1" t="s">
        <v>3</v>
      </c>
      <c r="B162" s="29" t="s">
        <v>29</v>
      </c>
      <c r="C162" s="28">
        <v>6.333333333333333</v>
      </c>
      <c r="D162" s="28">
        <v>4</v>
      </c>
      <c r="E162" s="28">
        <v>4.666666666666667</v>
      </c>
      <c r="F162" s="28">
        <f>(((SUM(Five_Semester_Database_Management_System[[#This Row],[Quiz 1]:[Quiz 3]]))/SUM($C$63:$E$63))*$F$63)</f>
        <v>5</v>
      </c>
      <c r="G162" s="27">
        <f>ROUND(Five_Semester_Database_Management_System[[#This Row],[Quiz Average]],0)</f>
        <v>5</v>
      </c>
      <c r="H162" s="31">
        <v>3</v>
      </c>
      <c r="I162" s="28">
        <v>31</v>
      </c>
      <c r="J162" s="28">
        <v>11</v>
      </c>
      <c r="K162" s="28">
        <f>SUM(Five_Semester_Database_Management_System[[#This Row],[Assignment]:[Final]])</f>
        <v>42</v>
      </c>
      <c r="L162" s="42">
        <f>ROUND(Five_Semester_Database_Management_System[[#This Row],[Ass &amp; Final]],0)</f>
        <v>42</v>
      </c>
      <c r="M162" s="42">
        <f t="shared" si="11"/>
        <v>50</v>
      </c>
      <c r="N162" s="46" t="str">
        <f t="shared" si="12"/>
        <v>C+</v>
      </c>
      <c r="O162" s="44" t="str">
        <f t="shared" si="13"/>
        <v>2.50</v>
      </c>
      <c r="P162" s="34" t="str">
        <f t="shared" si="14"/>
        <v>Average</v>
      </c>
    </row>
    <row r="163" spans="1:16" x14ac:dyDescent="0.25">
      <c r="A163" s="1" t="s">
        <v>4</v>
      </c>
      <c r="B163" s="29" t="s">
        <v>30</v>
      </c>
      <c r="C163" s="28">
        <v>2.6666666666666665</v>
      </c>
      <c r="D163" s="28">
        <v>4.666666666666667</v>
      </c>
      <c r="E163" s="28">
        <v>11.333333333333334</v>
      </c>
      <c r="F163" s="28">
        <f>(((SUM(Five_Semester_Database_Management_System[[#This Row],[Quiz 1]:[Quiz 3]]))/SUM($C$63:$E$63))*$F$63)</f>
        <v>6.2222222222222232</v>
      </c>
      <c r="G163" s="27">
        <f>ROUND(Five_Semester_Database_Management_System[[#This Row],[Quiz Average]],0)</f>
        <v>6</v>
      </c>
      <c r="H163" s="31">
        <v>2</v>
      </c>
      <c r="I163" s="28">
        <v>13.5</v>
      </c>
      <c r="J163" s="28">
        <v>1.5</v>
      </c>
      <c r="K163" s="28">
        <f>SUM(Five_Semester_Database_Management_System[[#This Row],[Assignment]:[Final]])</f>
        <v>15</v>
      </c>
      <c r="L163" s="42">
        <f>ROUND(Five_Semester_Database_Management_System[[#This Row],[Ass &amp; Final]],0)</f>
        <v>15</v>
      </c>
      <c r="M163" s="42">
        <f t="shared" si="11"/>
        <v>23</v>
      </c>
      <c r="N163" s="46" t="str">
        <f t="shared" si="12"/>
        <v>F</v>
      </c>
      <c r="O163" s="44" t="str">
        <f t="shared" si="13"/>
        <v>0.00</v>
      </c>
      <c r="P163" s="34" t="str">
        <f t="shared" si="14"/>
        <v>Fail</v>
      </c>
    </row>
    <row r="164" spans="1:16" x14ac:dyDescent="0.25">
      <c r="A164" s="6" t="s">
        <v>5</v>
      </c>
      <c r="B164" s="225" t="s">
        <v>31</v>
      </c>
      <c r="C164" s="221"/>
      <c r="D164" s="221"/>
      <c r="E164" s="221"/>
      <c r="F164" s="221"/>
      <c r="G164" s="226"/>
      <c r="H164" s="220"/>
      <c r="I164" s="221"/>
      <c r="J164" s="221"/>
      <c r="K164" s="221"/>
      <c r="L164" s="222"/>
      <c r="M164" s="222"/>
      <c r="N164" s="223"/>
      <c r="O164" s="224"/>
      <c r="P164" s="219"/>
    </row>
    <row r="165" spans="1:16" x14ac:dyDescent="0.25">
      <c r="A165" s="1" t="s">
        <v>6</v>
      </c>
      <c r="B165" s="29" t="s">
        <v>32</v>
      </c>
      <c r="C165" s="28">
        <v>13</v>
      </c>
      <c r="D165" s="28">
        <v>10.666666666666666</v>
      </c>
      <c r="E165" s="28">
        <v>2.6666666666666665</v>
      </c>
      <c r="F165" s="28">
        <f>(((SUM(Five_Semester_Database_Management_System[[#This Row],[Quiz 1]:[Quiz 3]]))/SUM($C$63:$E$63))*$F$63)</f>
        <v>8.7777777777777768</v>
      </c>
      <c r="G165" s="27">
        <f>ROUND(Five_Semester_Database_Management_System[[#This Row],[Quiz Average]],0)</f>
        <v>9</v>
      </c>
      <c r="H165" s="31">
        <v>10</v>
      </c>
      <c r="I165" s="28">
        <v>4</v>
      </c>
      <c r="J165" s="28">
        <v>18.5</v>
      </c>
      <c r="K165" s="28">
        <f>SUM(Five_Semester_Database_Management_System[[#This Row],[Assignment]:[Final]])</f>
        <v>22.5</v>
      </c>
      <c r="L165" s="42">
        <f>ROUND(Five_Semester_Database_Management_System[[#This Row],[Ass &amp; Final]],0)</f>
        <v>23</v>
      </c>
      <c r="M165" s="42">
        <f t="shared" si="11"/>
        <v>42</v>
      </c>
      <c r="N165" s="46" t="str">
        <f t="shared" si="12"/>
        <v>D</v>
      </c>
      <c r="O165" s="44" t="str">
        <f t="shared" si="13"/>
        <v>2.00</v>
      </c>
      <c r="P165" s="34" t="str">
        <f t="shared" si="14"/>
        <v>Pass</v>
      </c>
    </row>
    <row r="166" spans="1:16" x14ac:dyDescent="0.25">
      <c r="A166" s="1" t="s">
        <v>7</v>
      </c>
      <c r="B166" s="29" t="s">
        <v>33</v>
      </c>
      <c r="C166" s="28">
        <v>2.3333333333333335</v>
      </c>
      <c r="D166" s="28">
        <v>1</v>
      </c>
      <c r="E166" s="28">
        <v>12.333333333333334</v>
      </c>
      <c r="F166" s="28">
        <f>(((SUM(Five_Semester_Database_Management_System[[#This Row],[Quiz 1]:[Quiz 3]]))/SUM($C$63:$E$63))*$F$63)</f>
        <v>5.2222222222222223</v>
      </c>
      <c r="G166" s="27">
        <f>ROUND(Five_Semester_Database_Management_System[[#This Row],[Quiz Average]],0)</f>
        <v>5</v>
      </c>
      <c r="H166" s="31">
        <v>3</v>
      </c>
      <c r="I166" s="28">
        <v>1.5</v>
      </c>
      <c r="J166" s="28">
        <v>17</v>
      </c>
      <c r="K166" s="28">
        <f>SUM(Five_Semester_Database_Management_System[[#This Row],[Assignment]:[Final]])</f>
        <v>18.5</v>
      </c>
      <c r="L166" s="42">
        <f>ROUND(Five_Semester_Database_Management_System[[#This Row],[Ass &amp; Final]],0)</f>
        <v>19</v>
      </c>
      <c r="M166" s="42">
        <f t="shared" si="11"/>
        <v>27</v>
      </c>
      <c r="N166" s="46" t="str">
        <f t="shared" si="12"/>
        <v>F</v>
      </c>
      <c r="O166" s="44" t="str">
        <f t="shared" si="13"/>
        <v>0.00</v>
      </c>
      <c r="P166" s="34" t="str">
        <f t="shared" si="14"/>
        <v>Fail</v>
      </c>
    </row>
    <row r="167" spans="1:16" x14ac:dyDescent="0.25">
      <c r="A167" s="1" t="s">
        <v>8</v>
      </c>
      <c r="B167" s="29" t="s">
        <v>34</v>
      </c>
      <c r="C167" s="28">
        <v>5</v>
      </c>
      <c r="D167" s="28">
        <v>7.333333333333333</v>
      </c>
      <c r="E167" s="28">
        <v>4.666666666666667</v>
      </c>
      <c r="F167" s="28">
        <f>(((SUM(Five_Semester_Database_Management_System[[#This Row],[Quiz 1]:[Quiz 3]]))/SUM($C$63:$E$63))*$F$63)</f>
        <v>5.6666666666666661</v>
      </c>
      <c r="G167" s="27">
        <f>ROUND(Five_Semester_Database_Management_System[[#This Row],[Quiz Average]],0)</f>
        <v>6</v>
      </c>
      <c r="H167" s="31">
        <v>9</v>
      </c>
      <c r="I167" s="28">
        <v>26.5</v>
      </c>
      <c r="J167" s="28">
        <v>39</v>
      </c>
      <c r="K167" s="28">
        <f>SUM(Five_Semester_Database_Management_System[[#This Row],[Assignment]:[Final]])</f>
        <v>65.5</v>
      </c>
      <c r="L167" s="42">
        <f>ROUND(Five_Semester_Database_Management_System[[#This Row],[Ass &amp; Final]],0)</f>
        <v>66</v>
      </c>
      <c r="M167" s="42">
        <f t="shared" si="11"/>
        <v>81</v>
      </c>
      <c r="N167" s="46" t="str">
        <f t="shared" si="12"/>
        <v>A+</v>
      </c>
      <c r="O167" s="44" t="str">
        <f t="shared" si="13"/>
        <v>4.00</v>
      </c>
      <c r="P167" s="34" t="str">
        <f t="shared" si="14"/>
        <v>Outstanding</v>
      </c>
    </row>
    <row r="168" spans="1:16" x14ac:dyDescent="0.25">
      <c r="A168" s="1" t="s">
        <v>9</v>
      </c>
      <c r="B168" s="29" t="s">
        <v>35</v>
      </c>
      <c r="C168" s="28">
        <v>1</v>
      </c>
      <c r="D168" s="28">
        <v>13.333333333333334</v>
      </c>
      <c r="E168" s="28">
        <v>13.666666666666666</v>
      </c>
      <c r="F168" s="28">
        <f>(((SUM(Five_Semester_Database_Management_System[[#This Row],[Quiz 1]:[Quiz 3]]))/SUM($C$63:$E$63))*$F$63)</f>
        <v>9.3333333333333339</v>
      </c>
      <c r="G168" s="27">
        <f>ROUND(Five_Semester_Database_Management_System[[#This Row],[Quiz Average]],0)</f>
        <v>9</v>
      </c>
      <c r="H168" s="31">
        <v>7</v>
      </c>
      <c r="I168" s="28">
        <v>17.5</v>
      </c>
      <c r="J168" s="28">
        <v>5</v>
      </c>
      <c r="K168" s="28">
        <f>SUM(Five_Semester_Database_Management_System[[#This Row],[Assignment]:[Final]])</f>
        <v>22.5</v>
      </c>
      <c r="L168" s="42">
        <f>ROUND(Five_Semester_Database_Management_System[[#This Row],[Ass &amp; Final]],0)</f>
        <v>23</v>
      </c>
      <c r="M168" s="42">
        <f t="shared" si="11"/>
        <v>39</v>
      </c>
      <c r="N168" s="46" t="str">
        <f t="shared" si="12"/>
        <v>F</v>
      </c>
      <c r="O168" s="44" t="str">
        <f t="shared" si="13"/>
        <v>0.00</v>
      </c>
      <c r="P168" s="34" t="str">
        <f t="shared" si="14"/>
        <v>Fail</v>
      </c>
    </row>
    <row r="169" spans="1:16" x14ac:dyDescent="0.25">
      <c r="A169" s="1" t="s">
        <v>10</v>
      </c>
      <c r="B169" s="29" t="s">
        <v>36</v>
      </c>
      <c r="C169" s="28">
        <v>11</v>
      </c>
      <c r="D169" s="28">
        <v>14</v>
      </c>
      <c r="E169" s="28">
        <v>6.666666666666667</v>
      </c>
      <c r="F169" s="28">
        <f>(((SUM(Five_Semester_Database_Management_System[[#This Row],[Quiz 1]:[Quiz 3]]))/SUM($C$63:$E$63))*$F$63)</f>
        <v>10.555555555555555</v>
      </c>
      <c r="G169" s="27">
        <f>ROUND(Five_Semester_Database_Management_System[[#This Row],[Quiz Average]],0)</f>
        <v>11</v>
      </c>
      <c r="H169" s="31">
        <v>5</v>
      </c>
      <c r="I169" s="28">
        <v>30</v>
      </c>
      <c r="J169" s="28">
        <v>34</v>
      </c>
      <c r="K169" s="28">
        <f>SUM(Five_Semester_Database_Management_System[[#This Row],[Assignment]:[Final]])</f>
        <v>64</v>
      </c>
      <c r="L169" s="42">
        <f>ROUND(Five_Semester_Database_Management_System[[#This Row],[Ass &amp; Final]],0)</f>
        <v>64</v>
      </c>
      <c r="M169" s="42">
        <f t="shared" si="11"/>
        <v>80</v>
      </c>
      <c r="N169" s="46" t="str">
        <f t="shared" si="12"/>
        <v>A+</v>
      </c>
      <c r="O169" s="44" t="str">
        <f t="shared" si="13"/>
        <v>4.00</v>
      </c>
      <c r="P169" s="34" t="str">
        <f t="shared" si="14"/>
        <v>Outstanding</v>
      </c>
    </row>
    <row r="170" spans="1:16" x14ac:dyDescent="0.25">
      <c r="A170" s="6" t="s">
        <v>11</v>
      </c>
      <c r="B170" s="225" t="s">
        <v>31</v>
      </c>
      <c r="C170" s="221"/>
      <c r="D170" s="221"/>
      <c r="E170" s="221"/>
      <c r="F170" s="221"/>
      <c r="G170" s="226"/>
      <c r="H170" s="220"/>
      <c r="I170" s="221"/>
      <c r="J170" s="221"/>
      <c r="K170" s="221"/>
      <c r="L170" s="222"/>
      <c r="M170" s="222"/>
      <c r="N170" s="223"/>
      <c r="O170" s="224"/>
      <c r="P170" s="219"/>
    </row>
    <row r="171" spans="1:16" x14ac:dyDescent="0.25">
      <c r="A171" s="1" t="s">
        <v>12</v>
      </c>
      <c r="B171" s="29" t="s">
        <v>37</v>
      </c>
      <c r="C171" s="28">
        <v>10</v>
      </c>
      <c r="D171" s="28">
        <v>2.3333333333333335</v>
      </c>
      <c r="E171" s="28">
        <v>12</v>
      </c>
      <c r="F171" s="28">
        <f>(((SUM(Five_Semester_Database_Management_System[[#This Row],[Quiz 1]:[Quiz 3]]))/SUM($C$63:$E$63))*$F$63)</f>
        <v>8.1111111111111107</v>
      </c>
      <c r="G171" s="27">
        <f>ROUND(Five_Semester_Database_Management_System[[#This Row],[Quiz Average]],0)</f>
        <v>8</v>
      </c>
      <c r="H171" s="31">
        <v>6</v>
      </c>
      <c r="I171" s="28">
        <v>20.5</v>
      </c>
      <c r="J171" s="28">
        <v>28.5</v>
      </c>
      <c r="K171" s="28">
        <f>SUM(Five_Semester_Database_Management_System[[#This Row],[Assignment]:[Final]])</f>
        <v>49</v>
      </c>
      <c r="L171" s="42">
        <f>ROUND(Five_Semester_Database_Management_System[[#This Row],[Ass &amp; Final]],0)</f>
        <v>49</v>
      </c>
      <c r="M171" s="42">
        <f t="shared" si="11"/>
        <v>63</v>
      </c>
      <c r="N171" s="46" t="str">
        <f t="shared" si="12"/>
        <v>B</v>
      </c>
      <c r="O171" s="44" t="str">
        <f t="shared" si="13"/>
        <v>3.00</v>
      </c>
      <c r="P171" s="34" t="str">
        <f t="shared" si="14"/>
        <v>Satisfactory</v>
      </c>
    </row>
    <row r="172" spans="1:16" x14ac:dyDescent="0.25">
      <c r="A172" s="1" t="s">
        <v>13</v>
      </c>
      <c r="B172" s="29" t="s">
        <v>38</v>
      </c>
      <c r="C172" s="28">
        <v>4.666666666666667</v>
      </c>
      <c r="D172" s="28">
        <v>4.666666666666667</v>
      </c>
      <c r="E172" s="28">
        <v>10.333333333333334</v>
      </c>
      <c r="F172" s="28">
        <f>(((SUM(Five_Semester_Database_Management_System[[#This Row],[Quiz 1]:[Quiz 3]]))/SUM($C$63:$E$63))*$F$63)</f>
        <v>6.5555555555555562</v>
      </c>
      <c r="G172" s="27">
        <f>ROUND(Five_Semester_Database_Management_System[[#This Row],[Quiz Average]],0)</f>
        <v>7</v>
      </c>
      <c r="H172" s="31">
        <v>10</v>
      </c>
      <c r="I172" s="28">
        <v>23</v>
      </c>
      <c r="J172" s="28">
        <v>14.5</v>
      </c>
      <c r="K172" s="28">
        <f>SUM(Five_Semester_Database_Management_System[[#This Row],[Assignment]:[Final]])</f>
        <v>37.5</v>
      </c>
      <c r="L172" s="42">
        <f>ROUND(Five_Semester_Database_Management_System[[#This Row],[Ass &amp; Final]],0)</f>
        <v>38</v>
      </c>
      <c r="M172" s="42">
        <f t="shared" si="11"/>
        <v>55</v>
      </c>
      <c r="N172" s="46" t="str">
        <f t="shared" si="12"/>
        <v>B-</v>
      </c>
      <c r="O172" s="44" t="str">
        <f t="shared" si="13"/>
        <v>2.75</v>
      </c>
      <c r="P172" s="34" t="str">
        <f t="shared" si="14"/>
        <v>Above Average</v>
      </c>
    </row>
    <row r="173" spans="1:16" x14ac:dyDescent="0.25">
      <c r="A173" s="1" t="s">
        <v>14</v>
      </c>
      <c r="B173" s="29" t="s">
        <v>39</v>
      </c>
      <c r="C173" s="28">
        <v>3.6666666666666665</v>
      </c>
      <c r="D173" s="28">
        <v>1</v>
      </c>
      <c r="E173" s="28">
        <v>6.333333333333333</v>
      </c>
      <c r="F173" s="28">
        <f>(((SUM(Five_Semester_Database_Management_System[[#This Row],[Quiz 1]:[Quiz 3]]))/SUM($C$63:$E$63))*$F$63)</f>
        <v>3.6666666666666665</v>
      </c>
      <c r="G173" s="27">
        <f>ROUND(Five_Semester_Database_Management_System[[#This Row],[Quiz Average]],0)</f>
        <v>4</v>
      </c>
      <c r="H173" s="31">
        <v>3</v>
      </c>
      <c r="I173" s="28">
        <v>4</v>
      </c>
      <c r="J173" s="28">
        <v>28</v>
      </c>
      <c r="K173" s="28">
        <f>SUM(Five_Semester_Database_Management_System[[#This Row],[Assignment]:[Final]])</f>
        <v>32</v>
      </c>
      <c r="L173" s="42">
        <f>ROUND(Five_Semester_Database_Management_System[[#This Row],[Ass &amp; Final]],0)</f>
        <v>32</v>
      </c>
      <c r="M173" s="42">
        <f t="shared" si="11"/>
        <v>39</v>
      </c>
      <c r="N173" s="46" t="str">
        <f t="shared" si="12"/>
        <v>F</v>
      </c>
      <c r="O173" s="44" t="str">
        <f t="shared" si="13"/>
        <v>0.00</v>
      </c>
      <c r="P173" s="34" t="str">
        <f t="shared" si="14"/>
        <v>Fail</v>
      </c>
    </row>
    <row r="174" spans="1:16" x14ac:dyDescent="0.25">
      <c r="A174" s="1" t="s">
        <v>15</v>
      </c>
      <c r="B174" s="29" t="s">
        <v>40</v>
      </c>
      <c r="C174" s="28">
        <v>3.3333333333333335</v>
      </c>
      <c r="D174" s="28">
        <v>15</v>
      </c>
      <c r="E174" s="28">
        <v>8.6666666666666661</v>
      </c>
      <c r="F174" s="28">
        <f>(((SUM(Five_Semester_Database_Management_System[[#This Row],[Quiz 1]:[Quiz 3]]))/SUM($C$63:$E$63))*$F$63)</f>
        <v>9</v>
      </c>
      <c r="G174" s="27">
        <f>ROUND(Five_Semester_Database_Management_System[[#This Row],[Quiz Average]],0)</f>
        <v>9</v>
      </c>
      <c r="H174" s="31">
        <v>3</v>
      </c>
      <c r="I174" s="28">
        <v>19.5</v>
      </c>
      <c r="J174" s="28">
        <v>26.5</v>
      </c>
      <c r="K174" s="28">
        <f>SUM(Five_Semester_Database_Management_System[[#This Row],[Assignment]:[Final]])</f>
        <v>46</v>
      </c>
      <c r="L174" s="42">
        <f>ROUND(Five_Semester_Database_Management_System[[#This Row],[Ass &amp; Final]],0)</f>
        <v>46</v>
      </c>
      <c r="M174" s="42">
        <f t="shared" si="11"/>
        <v>58</v>
      </c>
      <c r="N174" s="46" t="str">
        <f t="shared" si="12"/>
        <v>B-</v>
      </c>
      <c r="O174" s="44" t="str">
        <f t="shared" si="13"/>
        <v>2.75</v>
      </c>
      <c r="P174" s="34" t="str">
        <f t="shared" si="14"/>
        <v>Above Average</v>
      </c>
    </row>
    <row r="175" spans="1:16" x14ac:dyDescent="0.25">
      <c r="A175" s="6" t="s">
        <v>16</v>
      </c>
      <c r="B175" s="225" t="s">
        <v>31</v>
      </c>
      <c r="C175" s="221"/>
      <c r="D175" s="221"/>
      <c r="E175" s="221"/>
      <c r="F175" s="221"/>
      <c r="G175" s="226"/>
      <c r="H175" s="220"/>
      <c r="I175" s="221"/>
      <c r="J175" s="221"/>
      <c r="K175" s="221"/>
      <c r="L175" s="222"/>
      <c r="M175" s="222"/>
      <c r="N175" s="223"/>
      <c r="O175" s="224"/>
      <c r="P175" s="219"/>
    </row>
    <row r="176" spans="1:16" x14ac:dyDescent="0.25">
      <c r="A176" s="1" t="s">
        <v>17</v>
      </c>
      <c r="B176" s="29" t="s">
        <v>41</v>
      </c>
      <c r="C176" s="28">
        <v>11.333333333333334</v>
      </c>
      <c r="D176" s="28">
        <v>6.666666666666667</v>
      </c>
      <c r="E176" s="28">
        <v>12</v>
      </c>
      <c r="F176" s="28">
        <f>(((SUM(Five_Semester_Database_Management_System[[#This Row],[Quiz 1]:[Quiz 3]]))/SUM($C$63:$E$63))*$F$63)</f>
        <v>10</v>
      </c>
      <c r="G176" s="27">
        <f>ROUND(Five_Semester_Database_Management_System[[#This Row],[Quiz Average]],0)</f>
        <v>10</v>
      </c>
      <c r="H176" s="31">
        <v>7</v>
      </c>
      <c r="I176" s="28">
        <v>8.5</v>
      </c>
      <c r="J176" s="28">
        <v>11.5</v>
      </c>
      <c r="K176" s="28">
        <f>SUM(Five_Semester_Database_Management_System[[#This Row],[Assignment]:[Final]])</f>
        <v>20</v>
      </c>
      <c r="L176" s="42">
        <f>ROUND(Five_Semester_Database_Management_System[[#This Row],[Ass &amp; Final]],0)</f>
        <v>20</v>
      </c>
      <c r="M176" s="42">
        <f t="shared" si="11"/>
        <v>37</v>
      </c>
      <c r="N176" s="46" t="str">
        <f t="shared" si="12"/>
        <v>F</v>
      </c>
      <c r="O176" s="44" t="str">
        <f t="shared" si="13"/>
        <v>0.00</v>
      </c>
      <c r="P176" s="34" t="str">
        <f t="shared" si="14"/>
        <v>Fail</v>
      </c>
    </row>
    <row r="177" spans="1:16" x14ac:dyDescent="0.25">
      <c r="A177" s="1" t="s">
        <v>18</v>
      </c>
      <c r="B177" s="29" t="s">
        <v>42</v>
      </c>
      <c r="C177" s="28">
        <v>1</v>
      </c>
      <c r="D177" s="28">
        <v>8.3333333333333339</v>
      </c>
      <c r="E177" s="28">
        <v>5</v>
      </c>
      <c r="F177" s="28">
        <f>(((SUM(Five_Semester_Database_Management_System[[#This Row],[Quiz 1]:[Quiz 3]]))/SUM($C$63:$E$63))*$F$63)</f>
        <v>4.7777777777777777</v>
      </c>
      <c r="G177" s="27">
        <f>ROUND(Five_Semester_Database_Management_System[[#This Row],[Quiz Average]],0)</f>
        <v>5</v>
      </c>
      <c r="H177" s="31">
        <v>7</v>
      </c>
      <c r="I177" s="28">
        <v>11</v>
      </c>
      <c r="J177" s="28">
        <v>23.5</v>
      </c>
      <c r="K177" s="28">
        <f>SUM(Five_Semester_Database_Management_System[[#This Row],[Assignment]:[Final]])</f>
        <v>34.5</v>
      </c>
      <c r="L177" s="42">
        <f>ROUND(Five_Semester_Database_Management_System[[#This Row],[Ass &amp; Final]],0)</f>
        <v>35</v>
      </c>
      <c r="M177" s="42">
        <f t="shared" si="11"/>
        <v>47</v>
      </c>
      <c r="N177" s="46" t="str">
        <f t="shared" si="12"/>
        <v>C</v>
      </c>
      <c r="O177" s="44" t="str">
        <f t="shared" si="13"/>
        <v>2.25</v>
      </c>
      <c r="P177" s="34" t="str">
        <f t="shared" si="14"/>
        <v>Bellow Average</v>
      </c>
    </row>
    <row r="178" spans="1:16" x14ac:dyDescent="0.25">
      <c r="A178" s="1" t="s">
        <v>19</v>
      </c>
      <c r="B178" s="29" t="s">
        <v>43</v>
      </c>
      <c r="C178" s="28">
        <v>10.333333333333334</v>
      </c>
      <c r="D178" s="28">
        <v>5.333333333333333</v>
      </c>
      <c r="E178" s="28">
        <v>3</v>
      </c>
      <c r="F178" s="28">
        <f>(((SUM(Five_Semester_Database_Management_System[[#This Row],[Quiz 1]:[Quiz 3]]))/SUM($C$63:$E$63))*$F$63)</f>
        <v>6.2222222222222232</v>
      </c>
      <c r="G178" s="27">
        <f>ROUND(Five_Semester_Database_Management_System[[#This Row],[Quiz Average]],0)</f>
        <v>6</v>
      </c>
      <c r="H178" s="31">
        <v>7</v>
      </c>
      <c r="I178" s="28">
        <v>30</v>
      </c>
      <c r="J178" s="28">
        <v>20.5</v>
      </c>
      <c r="K178" s="28">
        <f>SUM(Five_Semester_Database_Management_System[[#This Row],[Assignment]:[Final]])</f>
        <v>50.5</v>
      </c>
      <c r="L178" s="42">
        <f>ROUND(Five_Semester_Database_Management_System[[#This Row],[Ass &amp; Final]],0)</f>
        <v>51</v>
      </c>
      <c r="M178" s="42">
        <f t="shared" si="11"/>
        <v>64</v>
      </c>
      <c r="N178" s="46" t="str">
        <f t="shared" si="12"/>
        <v>B</v>
      </c>
      <c r="O178" s="44" t="str">
        <f t="shared" si="13"/>
        <v>3.00</v>
      </c>
      <c r="P178" s="34" t="str">
        <f t="shared" si="14"/>
        <v>Satisfactory</v>
      </c>
    </row>
    <row r="179" spans="1:16" x14ac:dyDescent="0.25">
      <c r="A179" s="1" t="s">
        <v>23</v>
      </c>
      <c r="B179" s="29" t="s">
        <v>44</v>
      </c>
      <c r="C179" s="28">
        <v>5.666666666666667</v>
      </c>
      <c r="D179" s="28">
        <v>1</v>
      </c>
      <c r="E179" s="28">
        <v>15</v>
      </c>
      <c r="F179" s="28">
        <f>(((SUM(Five_Semester_Database_Management_System[[#This Row],[Quiz 1]:[Quiz 3]]))/SUM($C$63:$E$63))*$F$63)</f>
        <v>7.2222222222222223</v>
      </c>
      <c r="G179" s="27">
        <f>ROUND(Five_Semester_Database_Management_System[[#This Row],[Quiz Average]],0)</f>
        <v>7</v>
      </c>
      <c r="H179" s="31">
        <v>7</v>
      </c>
      <c r="I179" s="28">
        <v>26</v>
      </c>
      <c r="J179" s="28">
        <v>12</v>
      </c>
      <c r="K179" s="28">
        <f>SUM(Five_Semester_Database_Management_System[[#This Row],[Assignment]:[Final]])</f>
        <v>38</v>
      </c>
      <c r="L179" s="42">
        <f>ROUND(Five_Semester_Database_Management_System[[#This Row],[Ass &amp; Final]],0)</f>
        <v>38</v>
      </c>
      <c r="M179" s="42">
        <f t="shared" si="11"/>
        <v>52</v>
      </c>
      <c r="N179" s="46" t="str">
        <f t="shared" si="12"/>
        <v>C+</v>
      </c>
      <c r="O179" s="44" t="str">
        <f t="shared" si="13"/>
        <v>2.50</v>
      </c>
      <c r="P179" s="34" t="str">
        <f t="shared" si="14"/>
        <v>Average</v>
      </c>
    </row>
    <row r="180" spans="1:16" x14ac:dyDescent="0.25">
      <c r="A180" s="1" t="s">
        <v>24</v>
      </c>
      <c r="B180" s="29" t="s">
        <v>45</v>
      </c>
      <c r="C180" s="28">
        <v>2</v>
      </c>
      <c r="D180" s="28">
        <v>11.666666666666666</v>
      </c>
      <c r="E180" s="28">
        <v>7</v>
      </c>
      <c r="F180" s="28">
        <f>(((SUM(Five_Semester_Database_Management_System[[#This Row],[Quiz 1]:[Quiz 3]]))/SUM($C$63:$E$63))*$F$63)</f>
        <v>6.8888888888888884</v>
      </c>
      <c r="G180" s="27">
        <f>ROUND(Five_Semester_Database_Management_System[[#This Row],[Quiz Average]],0)</f>
        <v>7</v>
      </c>
      <c r="H180" s="31">
        <v>8</v>
      </c>
      <c r="I180" s="28">
        <v>27.5</v>
      </c>
      <c r="J180" s="28">
        <v>14</v>
      </c>
      <c r="K180" s="28">
        <f>SUM(Five_Semester_Database_Management_System[[#This Row],[Assignment]:[Final]])</f>
        <v>41.5</v>
      </c>
      <c r="L180" s="42">
        <f>ROUND(Five_Semester_Database_Management_System[[#This Row],[Ass &amp; Final]],0)</f>
        <v>42</v>
      </c>
      <c r="M180" s="42">
        <f t="shared" si="11"/>
        <v>57</v>
      </c>
      <c r="N180" s="46" t="str">
        <f t="shared" si="12"/>
        <v>B-</v>
      </c>
      <c r="O180" s="44" t="str">
        <f t="shared" si="13"/>
        <v>2.75</v>
      </c>
      <c r="P180" s="34" t="str">
        <f t="shared" si="14"/>
        <v>Above Average</v>
      </c>
    </row>
    <row r="181" spans="1:16" x14ac:dyDescent="0.25">
      <c r="A181" s="1" t="s">
        <v>25</v>
      </c>
      <c r="B181" s="29" t="s">
        <v>46</v>
      </c>
      <c r="C181" s="28">
        <v>13.666666666666666</v>
      </c>
      <c r="D181" s="28">
        <v>4</v>
      </c>
      <c r="E181" s="28">
        <v>6</v>
      </c>
      <c r="F181" s="28">
        <f>(((SUM(Five_Semester_Database_Management_System[[#This Row],[Quiz 1]:[Quiz 3]]))/SUM($C$63:$E$63))*$F$63)</f>
        <v>7.8888888888888884</v>
      </c>
      <c r="G181" s="27">
        <f>ROUND(Five_Semester_Database_Management_System[[#This Row],[Quiz Average]],0)</f>
        <v>8</v>
      </c>
      <c r="H181" s="31">
        <v>2</v>
      </c>
      <c r="I181" s="28">
        <v>34</v>
      </c>
      <c r="J181" s="28">
        <v>24.5</v>
      </c>
      <c r="K181" s="28">
        <f>SUM(Five_Semester_Database_Management_System[[#This Row],[Assignment]:[Final]])</f>
        <v>58.5</v>
      </c>
      <c r="L181" s="42">
        <f>ROUND(Five_Semester_Database_Management_System[[#This Row],[Ass &amp; Final]],0)</f>
        <v>59</v>
      </c>
      <c r="M181" s="42">
        <f t="shared" si="11"/>
        <v>69</v>
      </c>
      <c r="N181" s="46" t="str">
        <f t="shared" si="12"/>
        <v>B+</v>
      </c>
      <c r="O181" s="44" t="str">
        <f t="shared" si="13"/>
        <v>3.25</v>
      </c>
      <c r="P181" s="34" t="str">
        <f t="shared" si="14"/>
        <v>Good</v>
      </c>
    </row>
    <row r="182" spans="1:16" x14ac:dyDescent="0.25">
      <c r="A182" s="1" t="s">
        <v>26</v>
      </c>
      <c r="B182" s="29" t="s">
        <v>47</v>
      </c>
      <c r="C182" s="28">
        <v>14.666666666666666</v>
      </c>
      <c r="D182" s="28">
        <v>2.3333333333333335</v>
      </c>
      <c r="E182" s="28">
        <v>12.666666666666666</v>
      </c>
      <c r="F182" s="28">
        <f>(((SUM(Five_Semester_Database_Management_System[[#This Row],[Quiz 1]:[Quiz 3]]))/SUM($C$63:$E$63))*$F$63)</f>
        <v>9.8888888888888875</v>
      </c>
      <c r="G182" s="27">
        <f>ROUND(Five_Semester_Database_Management_System[[#This Row],[Quiz Average]],0)</f>
        <v>10</v>
      </c>
      <c r="H182" s="31">
        <v>9</v>
      </c>
      <c r="I182" s="28">
        <v>13</v>
      </c>
      <c r="J182" s="28">
        <v>33</v>
      </c>
      <c r="K182" s="28">
        <f>SUM(Five_Semester_Database_Management_System[[#This Row],[Assignment]:[Final]])</f>
        <v>46</v>
      </c>
      <c r="L182" s="42">
        <f>ROUND(Five_Semester_Database_Management_System[[#This Row],[Ass &amp; Final]],0)</f>
        <v>46</v>
      </c>
      <c r="M182" s="42">
        <f t="shared" si="11"/>
        <v>65</v>
      </c>
      <c r="N182" s="46" t="str">
        <f t="shared" si="12"/>
        <v>B+</v>
      </c>
      <c r="O182" s="44" t="str">
        <f t="shared" si="13"/>
        <v>3.25</v>
      </c>
      <c r="P182" s="34" t="str">
        <f t="shared" si="14"/>
        <v>Good</v>
      </c>
    </row>
    <row r="183" spans="1:16" x14ac:dyDescent="0.25">
      <c r="A183" s="1" t="s">
        <v>50</v>
      </c>
      <c r="B183" s="29" t="s">
        <v>51</v>
      </c>
      <c r="C183" s="28">
        <v>1</v>
      </c>
      <c r="D183" s="28">
        <v>10.666666666666666</v>
      </c>
      <c r="E183" s="28">
        <v>2.3333333333333335</v>
      </c>
      <c r="F183" s="28">
        <f>(((SUM(Five_Semester_Database_Management_System[[#This Row],[Quiz 1]:[Quiz 3]]))/SUM($C$63:$E$63))*$F$63)</f>
        <v>4.666666666666667</v>
      </c>
      <c r="G183" s="27">
        <f>ROUND(Five_Semester_Database_Management_System[[#This Row],[Quiz Average]],0)</f>
        <v>5</v>
      </c>
      <c r="H183" s="31">
        <v>10</v>
      </c>
      <c r="I183" s="28">
        <v>13</v>
      </c>
      <c r="J183" s="28">
        <v>7</v>
      </c>
      <c r="K183" s="28">
        <f>SUM(Five_Semester_Database_Management_System[[#This Row],[Assignment]:[Final]])</f>
        <v>20</v>
      </c>
      <c r="L183" s="42">
        <f>ROUND(Five_Semester_Database_Management_System[[#This Row],[Ass &amp; Final]],0)</f>
        <v>20</v>
      </c>
      <c r="M183" s="42">
        <f>SUM(G183,H183,L183)</f>
        <v>35</v>
      </c>
      <c r="N183" s="46" t="str">
        <f t="shared" si="12"/>
        <v>F</v>
      </c>
      <c r="O183" s="44" t="str">
        <f t="shared" si="13"/>
        <v>0.00</v>
      </c>
      <c r="P183" s="34" t="str">
        <f t="shared" si="14"/>
        <v>Fail</v>
      </c>
    </row>
    <row r="184" spans="1:16" x14ac:dyDescent="0.25">
      <c r="A184" s="1" t="s">
        <v>53</v>
      </c>
      <c r="B184" s="29" t="s">
        <v>54</v>
      </c>
      <c r="C184" s="28">
        <v>7.333333333333333</v>
      </c>
      <c r="D184" s="28">
        <v>4.333333333333333</v>
      </c>
      <c r="E184" s="28">
        <v>7.666666666666667</v>
      </c>
      <c r="F184" s="28">
        <f>(((SUM(Five_Semester_Database_Management_System[[#This Row],[Quiz 1]:[Quiz 3]]))/SUM($C$63:$E$63))*$F$63)</f>
        <v>6.4444444444444438</v>
      </c>
      <c r="G184" s="27">
        <f>ROUND(Five_Semester_Database_Management_System[[#This Row],[Quiz Average]],0)</f>
        <v>6</v>
      </c>
      <c r="H184" s="31">
        <v>7</v>
      </c>
      <c r="I184" s="28">
        <v>21</v>
      </c>
      <c r="J184" s="28">
        <v>27.5</v>
      </c>
      <c r="K184" s="28">
        <f>SUM(Five_Semester_Database_Management_System[[#This Row],[Assignment]:[Final]])</f>
        <v>48.5</v>
      </c>
      <c r="L184" s="42">
        <f>ROUND(Five_Semester_Database_Management_System[[#This Row],[Ass &amp; Final]],0)</f>
        <v>49</v>
      </c>
      <c r="M184" s="42">
        <f t="shared" si="11"/>
        <v>62</v>
      </c>
      <c r="N184" s="46" t="str">
        <f t="shared" si="12"/>
        <v>B</v>
      </c>
      <c r="O184" s="44" t="str">
        <f t="shared" si="13"/>
        <v>3.00</v>
      </c>
      <c r="P184" s="34" t="str">
        <f t="shared" si="14"/>
        <v>Satisfactory</v>
      </c>
    </row>
    <row r="185" spans="1:16" ht="15.75" thickBot="1" x14ac:dyDescent="0.3">
      <c r="A185" s="35" t="s">
        <v>60</v>
      </c>
      <c r="B185" s="36" t="s">
        <v>61</v>
      </c>
      <c r="C185" s="37">
        <v>15</v>
      </c>
      <c r="D185" s="37">
        <v>3.6666666666666665</v>
      </c>
      <c r="E185" s="37">
        <v>14.666666666666666</v>
      </c>
      <c r="F185" s="37">
        <f>(((SUM(Five_Semester_Database_Management_System[[#This Row],[Quiz 1]:[Quiz 3]]))/SUM($C$63:$E$63))*$F$63)</f>
        <v>11.111111111111112</v>
      </c>
      <c r="G185" s="38">
        <f>ROUND(Five_Semester_Database_Management_System[[#This Row],[Quiz Average]],0)</f>
        <v>11</v>
      </c>
      <c r="H185" s="39">
        <v>4</v>
      </c>
      <c r="I185" s="37">
        <v>33</v>
      </c>
      <c r="J185" s="37">
        <v>27</v>
      </c>
      <c r="K185" s="37">
        <f>SUM(Five_Semester_Database_Management_System[[#This Row],[Assignment]:[Final]])</f>
        <v>60</v>
      </c>
      <c r="L185" s="43">
        <f>ROUND(Five_Semester_Database_Management_System[[#This Row],[Ass &amp; Final]],0)</f>
        <v>60</v>
      </c>
      <c r="M185" s="76">
        <f t="shared" si="11"/>
        <v>75</v>
      </c>
      <c r="N185" s="47" t="str">
        <f t="shared" si="12"/>
        <v>A</v>
      </c>
      <c r="O185" s="45" t="str">
        <f t="shared" si="13"/>
        <v>3.75</v>
      </c>
      <c r="P185" s="41" t="str">
        <f t="shared" si="14"/>
        <v>Excellent</v>
      </c>
    </row>
    <row r="192" spans="1:16" x14ac:dyDescent="0.25">
      <c r="L192" s="9"/>
    </row>
    <row r="194" spans="12:12" x14ac:dyDescent="0.25">
      <c r="L194" s="9"/>
    </row>
  </sheetData>
  <mergeCells count="10">
    <mergeCell ref="A13:N15"/>
    <mergeCell ref="A154:B154"/>
    <mergeCell ref="F154:L155"/>
    <mergeCell ref="A155:B155"/>
    <mergeCell ref="A60:B60"/>
    <mergeCell ref="F60:L61"/>
    <mergeCell ref="A61:B61"/>
    <mergeCell ref="A107:B107"/>
    <mergeCell ref="F107:L108"/>
    <mergeCell ref="A108:B108"/>
  </mergeCells>
  <pageMargins left="0.7" right="0.7" top="0.75" bottom="0.75" header="0.3" footer="0.3"/>
  <pageSetup orientation="portrait" horizontalDpi="300" verticalDpi="0" r:id="rId1"/>
  <ignoredErrors>
    <ignoredError sqref="C63:N63 C64:E69 H64:J69 M64:N69 C110:N110 C111:E116 H111:J116 M111:N116 C157:L157 C158:E163 H158:J163 C71:E75 H71:J75 M71:N75 C77:E80 H77:J80 M77:N80 C82:E91 H82:J91 M82:N91 C118:E122 H118:J122 M118:N122 C124:E127 H124:J127 M124:N127 C129:E138 H129:J138 M129:N138 C165:E169 H165:J169 C171:E174 H171:J174 C176:E185 H176:J185" calculatedColumn="1"/>
  </ignoredErrors>
  <drawing r:id="rId2"/>
  <tableParts count="4">
    <tablePart r:id="rId3"/>
    <tablePart r:id="rId4"/>
    <tablePart r:id="rId5"/>
    <tablePart r:id="rId6"/>
  </tableParts>
  <extLst>
    <ext xmlns:x15="http://schemas.microsoft.com/office/spreadsheetml/2010/11/main" uri="{3A4CF648-6AED-40f4-86FF-DC5316D8AED3}">
      <x14:slicerList xmlns:x14="http://schemas.microsoft.com/office/spreadsheetml/2009/9/main">
        <x14:slicer r:id="rId7"/>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i r s t _ S e m e s t e r _ E n g l i s h _ I " > < 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 A s s i g n m e n t < / s t r i n g > < / k e y > < v a l u e > < i n t > 1 0 9 < / i n t > < / v a l u e > < / i t e m > < i t e m > < k e y > < s t r i n g > P r e s e n t a t i o n < / s t r i n g > < / k e y > < v a l u e > < i n t > 1 1 5 < / i n t > < / v a l u e > < / i t e m > < i t e m > < k e y > < s t r i n g > A t t e n d a n c e < / s t r i n g > < / k e y > < v a l u e > < i n t > 1 0 8 < / i n t > < / v a l u e > < / i t e m > < i t e m > < k e y > < s t r i n g > T o t a l   o u t   o f   A P A < / s t r i n g > < / k e y > < v a l u e > < i n t > 1 3 4 < / i n t > < / v a l u e > < / i t e m > < i t e m > < k e y > < s t r i n g > R o u n d   o f   A P A < / s t r i n g > < / k e y > < v a l u e > < i n t > 1 2 0 < / i n t > < / v a l u e > < / i t e m > < i t e m > < k e y > < s t r i n g > M i d t e r m < / s t r i n g > < / k e y > < v a l u e > < i n t > 9 0 < / i n t > < / v a l u e > < / i t e m > < i t e m > < k e y > < s t r i n g > F i n a l < / s t r i n g > < / k e y > < v a l u e > < i n t > 6 6 < / i n t > < / v a l u e > < / i t e m > < i t e m > < k e y > < s t r i n g > M i d   & a m p ;   F i n a l < / s t r i n g > < / k e y > < v a l u e > < i n t > 1 0 6 < / i n t > < / v a l u e > < / i t e m > < i t e m > < k e y > < s t r i n g > R o u n d   o f   M   & a m p ;   F < / s t r i n g > < / k e y > < v a l u e > < i n t > 1 3 0 < / 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 A s s i g n m e n t < / s t r i n g > < / k e y > < v a l u e > < i n t > 7 < / i n t > < / v a l u e > < / i t e m > < i t e m > < k e y > < s t r i n g > P r e s e n t a t i o n < / s t r i n g > < / k e y > < v a l u e > < i n t > 8 < / i n t > < / v a l u e > < / i t e m > < i t e m > < k e y > < s t r i n g > A t t e n d a n c e < / s t r i n g > < / k e y > < v a l u e > < i n t > 9 < / i n t > < / v a l u e > < / i t e m > < i t e m > < k e y > < s t r i n g > T o t a l   o u t   o f   A P A < / s t r i n g > < / k e y > < v a l u e > < i n t > 1 0 < / i n t > < / v a l u e > < / i t e m > < i t e m > < k e y > < s t r i n g > R o u n d   o f   A P A < / s t r i n g > < / k e y > < v a l u e > < i n t > 1 1 < / i n t > < / v a l u e > < / i t e m > < i t e m > < k e y > < s t r i n g > M i d t e r m < / s t r i n g > < / k e y > < v a l u e > < i n t > 1 2 < / i n t > < / v a l u e > < / i t e m > < i t e m > < k e y > < s t r i n g > F i n a l < / s t r i n g > < / k e y > < v a l u e > < i n t > 1 3 < / i n t > < / v a l u e > < / i t e m > < i t e m > < k e y > < s t r i n g > M i d   & a m p ;   F i n a l < / s t r i n g > < / k e y > < v a l u e > < i n t > 1 4 < / i n t > < / v a l u e > < / i t e m > < i t e m > < k e y > < s t r i n g > R o u n d   o f   M   & a m p ;   F < / s t r i n g > < / k e y > < v a l u e > < i n t > 1 5 < / i n t > < / v a l u e > < / i t e m > < i t e m > < k e y > < s t r i n g > T o t a l < / s t r i n g > < / k e y > < v a l u e > < i n t > 1 6 < / i n t > < / v a l u e > < / i t e m > < i t e m > < k e y > < s t r i n g > G r a d e   S c a l e < / s t r i n g > < / k e y > < v a l u e > < i n t > 1 7 < / i n t > < / v a l u e > < / i t e m > < i t e m > < k e y > < s t r i n g > G r a d e   P o i n t < / s t r i n g > < / k e y > < v a l u e > < i n t > 1 8 < / i n t > < / v a l u e > < / i t e m > < i t e m > < k e y > < s t r i n g > R e m a r k s < / s t r i n g > < / k e y > < v a l u e > < i n t > 1 9 < / 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T h i r d _ S e m e s t e r _ S t u d y _ a n d _ C o m m u n i c a t i o n _ S k i l l s " > < 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 A s s i g n m e n t < / s t r i n g > < / k e y > < v a l u e > < i n t > 1 0 9 < / i n t > < / v a l u e > < / i t e m > < i t e m > < k e y > < s t r i n g > P r e s e n t a t i o n < / s t r i n g > < / k e y > < v a l u e > < i n t > 1 1 5 < / i n t > < / v a l u e > < / i t e m > < i t e m > < k e y > < s t r i n g > A t t e n d a n c e < / s t r i n g > < / k e y > < v a l u e > < i n t > 1 0 8 < / i n t > < / v a l u e > < / i t e m > < i t e m > < k e y > < s t r i n g > T o t a l   o u t   o f   A P A < / s t r i n g > < / k e y > < v a l u e > < i n t > 1 3 4 < / i n t > < / v a l u e > < / i t e m > < i t e m > < k e y > < s t r i n g > R o u n d   o f   A P A < / s t r i n g > < / k e y > < v a l u e > < i n t > 1 2 0 < / i n t > < / v a l u e > < / i t e m > < i t e m > < k e y > < s t r i n g > M i d t e r m < / s t r i n g > < / k e y > < v a l u e > < i n t > 9 0 < / i n t > < / v a l u e > < / i t e m > < i t e m > < k e y > < s t r i n g > F i n a l < / s t r i n g > < / k e y > < v a l u e > < i n t > 6 6 < / i n t > < / v a l u e > < / i t e m > < i t e m > < k e y > < s t r i n g > M i d   & a m p ;   F i n a l < / s t r i n g > < / k e y > < v a l u e > < i n t > 1 0 6 < / i n t > < / v a l u e > < / i t e m > < i t e m > < k e y > < s t r i n g > R o u n d   o f   M   & a m p ;   F < / s t r i n g > < / k e y > < v a l u e > < i n t > 1 3 0 < / 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 A s s i g n m e n t < / s t r i n g > < / k e y > < v a l u e > < i n t > 7 < / i n t > < / v a l u e > < / i t e m > < i t e m > < k e y > < s t r i n g > P r e s e n t a t i o n < / s t r i n g > < / k e y > < v a l u e > < i n t > 8 < / i n t > < / v a l u e > < / i t e m > < i t e m > < k e y > < s t r i n g > A t t e n d a n c e < / s t r i n g > < / k e y > < v a l u e > < i n t > 9 < / i n t > < / v a l u e > < / i t e m > < i t e m > < k e y > < s t r i n g > T o t a l   o u t   o f   A P A < / s t r i n g > < / k e y > < v a l u e > < i n t > 1 0 < / i n t > < / v a l u e > < / i t e m > < i t e m > < k e y > < s t r i n g > R o u n d   o f   A P A < / s t r i n g > < / k e y > < v a l u e > < i n t > 1 1 < / i n t > < / v a l u e > < / i t e m > < i t e m > < k e y > < s t r i n g > M i d t e r m < / s t r i n g > < / k e y > < v a l u e > < i n t > 1 2 < / i n t > < / v a l u e > < / i t e m > < i t e m > < k e y > < s t r i n g > F i n a l < / s t r i n g > < / k e y > < v a l u e > < i n t > 1 3 < / i n t > < / v a l u e > < / i t e m > < i t e m > < k e y > < s t r i n g > M i d   & a m p ;   F i n a l < / s t r i n g > < / k e y > < v a l u e > < i n t > 1 4 < / i n t > < / v a l u e > < / i t e m > < i t e m > < k e y > < s t r i n g > R o u n d   o f   M   & a m p ;   F < / s t r i n g > < / k e y > < v a l u e > < i n t > 1 5 < / i n t > < / v a l u e > < / i t e m > < i t e m > < k e y > < s t r i n g > T o t a l < / s t r i n g > < / k e y > < v a l u e > < i n t > 1 6 < / i n t > < / v a l u e > < / i t e m > < i t e m > < k e y > < s t r i n g > G r a d e   S c a l e < / s t r i n g > < / k e y > < v a l u e > < i n t > 1 7 < / i n t > < / v a l u e > < / i t e m > < i t e m > < k e y > < s t r i n g > G r a d e   P o i n t < / s t r i n g > < / k e y > < v a l u e > < i n t > 1 8 < / i n t > < / v a l u e > < / i t e m > < i t e m > < k e y > < s t r i n g > R e m a r k s < / s t r i n g > < / k e y > < v a l u e > < i n t > 1 9 < / 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M a n u a l C a l c M o d e " > < C u s t o m C o n t e n t > < ! [ C D A T A [ F a l s e ] ] > < / C u s t o m C o n t e n t > < / G e m i n i > 
</file>

<file path=customXml/item12.xml>��< ? x m l   v e r s i o n = " 1 . 0 "   e n c o d i n g = " U T F - 1 6 " ? > < G e m i n i   x m l n s = " h t t p : / / g e m i n i / p i v o t c u s t o m i z a t i o n / T a b l e X M L _ T h i r d _ S e m e s t e r _ C o m p u t e r _ N e t w o r k " > < 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 A t t e n d a n c e < / s t r i n g > < / k e y > < v a l u e > < i n t > 1 0 8 < / i n t > < / v a l u e > < / i t e m > < i t e m > < k e y > < s t r i n g > A s s i g n m e n t < / s t r i n g > < / k e y > < v a l u e > < i n t > 1 0 9 < / i n t > < / v a l u e > < / i t e m > < i t e m > < k e y > < s t r i n g > F i n a l < / s t r i n g > < / k e y > < v a l u e > < i n t > 6 6 < / i n t > < / v a l u e > < / i t e m > < i t e m > < k e y > < s t r i n g > A s s   & a m p ;   F i n a l < / s t r i n g > < / k e y > < v a l u e > < i n t > 1 0 3 < / i n t > < / v a l u e > < / i t e m > < i t e m > < k e y > < s t r i n g > R o u n d   o f   A   & a m p ;   F < / s t r i n g > < / k e y > < v a l u e > < i n t > 1 2 7 < / 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 A t t e n d a n c e < / s t r i n g > < / k e y > < v a l u e > < i n t > 7 < / i n t > < / v a l u e > < / i t e m > < i t e m > < k e y > < s t r i n g > A s s i g n m e n t < / s t r i n g > < / k e y > < v a l u e > < i n t > 8 < / i n t > < / v a l u e > < / i t e m > < i t e m > < k e y > < s t r i n g > F i n a l < / s t r i n g > < / k e y > < v a l u e > < i n t > 9 < / i n t > < / v a l u e > < / i t e m > < i t e m > < k e y > < s t r i n g > A s s   & a m p ;   F i n a l < / s t r i n g > < / k e y > < v a l u e > < i n t > 1 0 < / i n t > < / v a l u e > < / i t e m > < i t e m > < k e y > < s t r i n g > R o u n d   o f   A   & a m p ;   F < / s t r i n g > < / k e y > < v a l u e > < i n t > 1 1 < / i n t > < / v a l u e > < / i t e m > < i t e m > < k e y > < s t r i n g > T o t a l < / s t r i n g > < / k e y > < v a l u e > < i n t > 1 2 < / i n t > < / v a l u e > < / i t e m > < i t e m > < k e y > < s t r i n g > G r a d e   S c a l e < / s t r i n g > < / k e y > < v a l u e > < i n t > 1 3 < / i n t > < / v a l u e > < / i t e m > < i t e m > < k e y > < s t r i n g > G r a d e   P o i n t < / s t r i n g > < / k e y > < v a l u e > < i n t > 1 4 < / i n t > < / v a l u e > < / i t e m > < i t e m > < k e y > < s t r i n g > R e m a r k s < / s t r i n g > < / k e y > < v a l u e > < i n t > 1 5 < / i n t > < / v a l u e > < / i t e m > < / C o l u m n D i s p l a y I n d e x > < C o l u m n F r o z e n   / > < C o l u m n C h e c k e d   / > < C o l u m n F i l t e r   / > < S e l e c t i o n F i l t e r   / > < F i l t e r P a r a m e t e r s   / > < I s S o r t D e s c e n d i n g > f a l s e < / I s S o r t D e s c e n d i n g > < / T a b l e W i d g e t G r i d S e r i a l i z a t i o n > ] ] > < / C u s t o m C o n t e n t > < / G e m i n i > 
</file>

<file path=customXml/item13.xml>��< ? x m l   v e r s i o n = " 1 . 0 "   e n c o d i n g = " u t f - 1 6 " ? > < D a t a M a s h u p   x m l n s = " h t t p : / / s c h e m a s . m i c r o s o f t . c o m / D a t a M a s h u p " > A A A A A C I E A A B Q S w M E F A A C A A g A B w t 6 V N h e i d O i A A A A 9 g A A A B I A H A B D b 2 5 m a W c v U G F j a 2 F n Z S 5 4 b W w g o h g A K K A U A A A A A A A A A A A A A A A A A A A A A A A A A A A A h Y + x D o I w F E V / h X S n L X U x 5 F E H V 0 l M i M a 1 K R U a 4 W F o s f y b g 5 / k L 4 h R 1 M 3 x n n u G e + / X G 6 z G t o k u p n e 2 w 4 w k l J P I o O 5 K i 1 V G B n + M l 2 Q l Y a v 0 S V U m m m R 0 6 e j K j N T e n 1 P G Q g g 0 L G j X V 0 x w n r B D v i l 0 b V p F P r L 9 L 8 c W n V e o D Z G w f 4 2 R g i Z c U M G n T c B m C L n F r y C m 7 t n + Q F g P j R 9 6 I w 3 G u w L Y H I G 9 P 8 g H U E s D B B Q A A g A I A A c L e l Q 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H C 3 p U 6 s 3 + C B 4 B A A D h A g A A E w A c A E Z v c m 1 1 b G F z L 1 N l Y 3 R p b 2 4 x L m 0 g o h g A K K A U A A A A A A A A A A A A A A A A A A A A A A A A A A A A j Z J P a 8 I w G I f v h X 6 H l + 6 i 0 A m D s Y t 4 k M 5 h L 2 O s h R 1 E 5 D V 9 X Y t p 3 p I / m 1 L 8 7 o v r 5 k X d m k s g + T 1 P f i E x J G z F C r J u v h u H Q R i Y E j U V M K s b y X u i V Y J S O I m W V h l K 1 H u Y g C Q b B u B H x k 4 L 8 i u z n S A 5 S p z W p O w b 6 + 2 a e T s Y t o t n r G k S X Z V F y 8 M i Y W U 9 t Y w 7 5 0 2 U l K j e f Y V 8 3 1 D k 5 T m u J Y 1 y j c p s W N c J S 1 e r 4 6 Y Z d A X i t j 0 d A e l j F E O q 7 M P 9 6 J g 5 x N B G x x b A m 9 O l f M L 6 P b C 0 s 9 + B E / 1 T 6 8 w w Z 2 c I X n 3 P X 1 a 5 e k 3 6 E g 2 3 8 G c 8 a 0 h U K G E q J X + i E t R L 2 Y e a E 0 p b w t Q Y p 3 u L e 0 A v m j + q w t 8 G n p w q e l n / R V I l 2 L 9 K j r t e v q v x w z A M K n X x 7 4 y / A F B L A Q I t A B Q A A g A I A A c L e l T Y X o n T o g A A A P Y A A A A S A A A A A A A A A A A A A A A A A A A A A A B D b 2 5 m a W c v U G F j a 2 F n Z S 5 4 b W x Q S w E C L Q A U A A I A C A A H C 3 p U D 8 r p q 6 Q A A A D p A A A A E w A A A A A A A A A A A A A A A A D u A A A A W 0 N v b n R l b n R f V H l w Z X N d L n h t b F B L A Q I t A B Q A A g A I A A c L e l T q z f 4 I H g E A A O E C A A A T A A A A A A A A A A A A A A A A A N 8 B A A B G b 3 J t d W x h c y 9 T Z W N 0 a W 9 u M S 5 t U E s F B g A A A A A D A A M A w g A A A E o D 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t 4 S A A A A A A A A v B I 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V t c G x v e W V l X 0 N h b G N 1 b G F 0 Z V 9 T Y W x h c n k 8 L 0 l 0 Z W 1 Q Y X R o P j w v S X R l b U x v Y 2 F 0 a W 9 u P j x T d G F i b G V F b n R y a W V z P j x F b n R y e S B U e X B l P S J J c 1 B y a X Z h d G U i I F Z h b H V l P S J s M C I g L z 4 8 R W 5 0 c n k g V H l w Z T 0 i R m l s b E V u Y W J s Z W Q i I F Z h b H V l P S J s M C I g L z 4 8 R W 5 0 c n k g V H l w Z T 0 i R m l s b E 9 i a m V j d F R 5 c G U i I F Z h b H V l P S J z Q 2 9 u b m V j d G l v b k 9 u b H k 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S I g L z 4 8 R W 5 0 c n k g V H l w Z T 0 i Q W R k Z W R U b 0 R h d G F N b 2 R l b C I g V m F s d W U 9 I m w w I i A v P j x F b n R y e S B U e X B l P S J G a W x s Q 2 9 1 b n Q i I F Z h b H V l P S J s M j g i I C 8 + P E V u d H J 5 I F R 5 c G U 9 I k Z p b G x F c n J v c k N v Z G U i I F Z h b H V l P S J z V W 5 r b m 9 3 b i I g L z 4 8 R W 5 0 c n k g V H l w Z T 0 i R m l s b E V y c m 9 y Q 2 9 1 b n Q i I F Z h b H V l P S J s M C I g L z 4 8 R W 5 0 c n k g V H l w Z T 0 i R m l s b E x h c 3 R V c G R h d G V k I i B W Y W x 1 Z T 0 i Z D I w M j I t M D M t M j V U M T k 6 M j M 6 M D E u O T Q z M j g y M 1 o i I C 8 + P E V u d H J 5 I F R 5 c G U 9 I k Z p b G x D b 2 x 1 b W 5 U e X B l c y I g V m F s d W U 9 I n N B d 1 l E Q l F V R k J R V U Z C U V V G Q l E 9 P S I g L z 4 8 R W 5 0 c n k g V H l w Z T 0 i R m l s b E N v b H V t b k 5 h b W V z I i B W Y W x 1 Z T 0 i c 1 s m c X V v d D t F b X B s b 3 l l Z S B J R C Z x d W 9 0 O y w m c X V v d D t O Y W 1 l I G 9 m I E V t c G x v e W V l J n F 1 b 3 Q 7 L C Z x d W 9 0 O 0 V t c G x v e W V l I F N h b G F y e S Z x d W 9 0 O y w m c X V v d D t I b 3 V z Z S B S Z W 5 0 J n F 1 b 3 Q 7 L C Z x d W 9 0 O 0 V t c G x v e W V l I F N h b G F y e S A t I E h v d X N l I F J l b n Q m c X V v d D s s J n F 1 b 3 Q 7 U 3 B l Y 2 l h b C B B b G x v d 2 F u Y 2 U m c X V v d D s s J n F 1 b 3 Q 7 R W 1 w b G 9 5 Z W U g U 2 F s Y X J 5 I C 0 g U 3 B l Y 2 l h b C B B b G x v d 2 F u Y 2 U m c X V v d D s s J n F 1 b 3 Q 7 S G V h b H R o I E F z c 3 V y Y W 5 j Z S Z x d W 9 0 O y w m c X V v d D t F b X B s b 3 l l Z S B T Y W x h c n k g L S B I Z W F s d G g g Q X N z d X J h b m N l J n F 1 b 3 Q 7 L C Z x d W 9 0 O 1 B y b 3 Z p Z G V u d C B G d W 5 k J n F 1 b 3 Q 7 L C Z x d W 9 0 O 0 V t c G x v e W V l I F N h b G F y e S A t I F B y b 3 Z p Z G V u d C B G d W 5 k J n F 1 b 3 Q 7 L C Z x d W 9 0 O 0 l u Y 2 9 t Z S B U Y X g m c X V v d D s s J n F 1 b 3 Q 7 R W 1 w b G 9 5 Z W U g U 2 F s Y X J 5 I C 0 g S W 5 j b 2 1 l I F R h e C Z x d W 9 0 O 1 0 i I C 8 + P E V u d H J 5 I F R 5 c G U 9 I k Z p b G x T d G F 0 d X M i I F Z h b H V l P S J z Q 2 9 t c G x l d G U i I C 8 + P E V u d H J 5 I F R 5 c G U 9 I l J l b G F 0 a W 9 u c 2 h p c E l u Z m 9 D b 2 5 0 Y W l u Z X I i I F Z h b H V l P S J z e y Z x d W 9 0 O 2 N v b H V t b k N v d W 5 0 J n F 1 b 3 Q 7 O j E z L C Z x d W 9 0 O 2 t l e U N v b H V t b k 5 h b W V z J n F 1 b 3 Q 7 O l t d L C Z x d W 9 0 O 3 F 1 Z X J 5 U m V s Y X R p b 2 5 z a G l w c y Z x d W 9 0 O z p b X S w m c X V v d D t j b 2 x 1 b W 5 J Z G V u d G l 0 a W V z J n F 1 b 3 Q 7 O l s m c X V v d D t T Z W N 0 a W 9 u M S 9 F b X B s b 3 l l Z V 9 D Y W x j d W x h d G V f U 2 F s Y X J 5 L 0 F 1 d G 9 S Z W 1 v d m V k Q 2 9 s d W 1 u c z E u e 0 V t c G x v e W V l I E l E L D B 9 J n F 1 b 3 Q 7 L C Z x d W 9 0 O 1 N l Y 3 R p b 2 4 x L 0 V t c G x v e W V l X 0 N h b G N 1 b G F 0 Z V 9 T Y W x h c n k v Q X V 0 b 1 J l b W 9 2 Z W R D b 2 x 1 b W 5 z M S 5 7 T m F t Z S B v Z i B F b X B s b 3 l l Z S w x f S Z x d W 9 0 O y w m c X V v d D t T Z W N 0 a W 9 u M S 9 F b X B s b 3 l l Z V 9 D Y W x j d W x h d G V f U 2 F s Y X J 5 L 0 F 1 d G 9 S Z W 1 v d m V k Q 2 9 s d W 1 u c z E u e 0 V t c G x v e W V l I F N h b G F y e S w y f S Z x d W 9 0 O y w m c X V v d D t T Z W N 0 a W 9 u M S 9 F b X B s b 3 l l Z V 9 D Y W x j d W x h d G V f U 2 F s Y X J 5 L 0 F 1 d G 9 S Z W 1 v d m V k Q 2 9 s d W 1 u c z E u e 0 h v d X N l I F J l b n Q s M 3 0 m c X V v d D s s J n F 1 b 3 Q 7 U 2 V j d G l v b j E v R W 1 w b G 9 5 Z W V f Q 2 F s Y 3 V s Y X R l X 1 N h b G F y e S 9 B d X R v U m V t b 3 Z l Z E N v b H V t b n M x L n t F b X B s b 3 l l Z S B T Y W x h c n k g L S B I b 3 V z Z S B S Z W 5 0 L D R 9 J n F 1 b 3 Q 7 L C Z x d W 9 0 O 1 N l Y 3 R p b 2 4 x L 0 V t c G x v e W V l X 0 N h b G N 1 b G F 0 Z V 9 T Y W x h c n k v Q X V 0 b 1 J l b W 9 2 Z W R D b 2 x 1 b W 5 z M S 5 7 U 3 B l Y 2 l h b C B B b G x v d 2 F u Y 2 U s N X 0 m c X V v d D s s J n F 1 b 3 Q 7 U 2 V j d G l v b j E v R W 1 w b G 9 5 Z W V f Q 2 F s Y 3 V s Y X R l X 1 N h b G F y e S 9 B d X R v U m V t b 3 Z l Z E N v b H V t b n M x L n t F b X B s b 3 l l Z S B T Y W x h c n k g L S B T c G V j a W F s I E F s b G 9 3 Y W 5 j Z S w 2 f S Z x d W 9 0 O y w m c X V v d D t T Z W N 0 a W 9 u M S 9 F b X B s b 3 l l Z V 9 D Y W x j d W x h d G V f U 2 F s Y X J 5 L 0 F 1 d G 9 S Z W 1 v d m V k Q 2 9 s d W 1 u c z E u e 0 h l Y W x 0 a C B B c 3 N 1 c m F u Y 2 U s N 3 0 m c X V v d D s s J n F 1 b 3 Q 7 U 2 V j d G l v b j E v R W 1 w b G 9 5 Z W V f Q 2 F s Y 3 V s Y X R l X 1 N h b G F y e S 9 B d X R v U m V t b 3 Z l Z E N v b H V t b n M x L n t F b X B s b 3 l l Z S B T Y W x h c n k g L S B I Z W F s d G g g Q X N z d X J h b m N l L D h 9 J n F 1 b 3 Q 7 L C Z x d W 9 0 O 1 N l Y 3 R p b 2 4 x L 0 V t c G x v e W V l X 0 N h b G N 1 b G F 0 Z V 9 T Y W x h c n k v Q X V 0 b 1 J l b W 9 2 Z W R D b 2 x 1 b W 5 z M S 5 7 U H J v d m l k Z W 5 0 I E Z 1 b m Q s O X 0 m c X V v d D s s J n F 1 b 3 Q 7 U 2 V j d G l v b j E v R W 1 w b G 9 5 Z W V f Q 2 F s Y 3 V s Y X R l X 1 N h b G F y e S 9 B d X R v U m V t b 3 Z l Z E N v b H V t b n M x L n t F b X B s b 3 l l Z S B T Y W x h c n k g L S B Q c m 9 2 a W R l b n Q g R n V u Z C w x M H 0 m c X V v d D s s J n F 1 b 3 Q 7 U 2 V j d G l v b j E v R W 1 w b G 9 5 Z W V f Q 2 F s Y 3 V s Y X R l X 1 N h b G F y e S 9 B d X R v U m V t b 3 Z l Z E N v b H V t b n M x L n t J b m N v b W U g V G F 4 L D E x f S Z x d W 9 0 O y w m c X V v d D t T Z W N 0 a W 9 u M S 9 F b X B s b 3 l l Z V 9 D Y W x j d W x h d G V f U 2 F s Y X J 5 L 0 F 1 d G 9 S Z W 1 v d m V k Q 2 9 s d W 1 u c z E u e 0 V t c G x v e W V l I F N h b G F y e S A t I E l u Y 2 9 t Z S B U Y X g s M T J 9 J n F 1 b 3 Q 7 X S w m c X V v d D t D b 2 x 1 b W 5 D b 3 V u d C Z x d W 9 0 O z o x M y w m c X V v d D t L Z X l D b 2 x 1 b W 5 O Y W 1 l c y Z x d W 9 0 O z p b X S w m c X V v d D t D b 2 x 1 b W 5 J Z G V u d G l 0 a W V z J n F 1 b 3 Q 7 O l s m c X V v d D t T Z W N 0 a W 9 u M S 9 F b X B s b 3 l l Z V 9 D Y W x j d W x h d G V f U 2 F s Y X J 5 L 0 F 1 d G 9 S Z W 1 v d m V k Q 2 9 s d W 1 u c z E u e 0 V t c G x v e W V l I E l E L D B 9 J n F 1 b 3 Q 7 L C Z x d W 9 0 O 1 N l Y 3 R p b 2 4 x L 0 V t c G x v e W V l X 0 N h b G N 1 b G F 0 Z V 9 T Y W x h c n k v Q X V 0 b 1 J l b W 9 2 Z W R D b 2 x 1 b W 5 z M S 5 7 T m F t Z S B v Z i B F b X B s b 3 l l Z S w x f S Z x d W 9 0 O y w m c X V v d D t T Z W N 0 a W 9 u M S 9 F b X B s b 3 l l Z V 9 D Y W x j d W x h d G V f U 2 F s Y X J 5 L 0 F 1 d G 9 S Z W 1 v d m V k Q 2 9 s d W 1 u c z E u e 0 V t c G x v e W V l I F N h b G F y e S w y f S Z x d W 9 0 O y w m c X V v d D t T Z W N 0 a W 9 u M S 9 F b X B s b 3 l l Z V 9 D Y W x j d W x h d G V f U 2 F s Y X J 5 L 0 F 1 d G 9 S Z W 1 v d m V k Q 2 9 s d W 1 u c z E u e 0 h v d X N l I F J l b n Q s M 3 0 m c X V v d D s s J n F 1 b 3 Q 7 U 2 V j d G l v b j E v R W 1 w b G 9 5 Z W V f Q 2 F s Y 3 V s Y X R l X 1 N h b G F y e S 9 B d X R v U m V t b 3 Z l Z E N v b H V t b n M x L n t F b X B s b 3 l l Z S B T Y W x h c n k g L S B I b 3 V z Z S B S Z W 5 0 L D R 9 J n F 1 b 3 Q 7 L C Z x d W 9 0 O 1 N l Y 3 R p b 2 4 x L 0 V t c G x v e W V l X 0 N h b G N 1 b G F 0 Z V 9 T Y W x h c n k v Q X V 0 b 1 J l b W 9 2 Z W R D b 2 x 1 b W 5 z M S 5 7 U 3 B l Y 2 l h b C B B b G x v d 2 F u Y 2 U s N X 0 m c X V v d D s s J n F 1 b 3 Q 7 U 2 V j d G l v b j E v R W 1 w b G 9 5 Z W V f Q 2 F s Y 3 V s Y X R l X 1 N h b G F y e S 9 B d X R v U m V t b 3 Z l Z E N v b H V t b n M x L n t F b X B s b 3 l l Z S B T Y W x h c n k g L S B T c G V j a W F s I E F s b G 9 3 Y W 5 j Z S w 2 f S Z x d W 9 0 O y w m c X V v d D t T Z W N 0 a W 9 u M S 9 F b X B s b 3 l l Z V 9 D Y W x j d W x h d G V f U 2 F s Y X J 5 L 0 F 1 d G 9 S Z W 1 v d m V k Q 2 9 s d W 1 u c z E u e 0 h l Y W x 0 a C B B c 3 N 1 c m F u Y 2 U s N 3 0 m c X V v d D s s J n F 1 b 3 Q 7 U 2 V j d G l v b j E v R W 1 w b G 9 5 Z W V f Q 2 F s Y 3 V s Y X R l X 1 N h b G F y e S 9 B d X R v U m V t b 3 Z l Z E N v b H V t b n M x L n t F b X B s b 3 l l Z S B T Y W x h c n k g L S B I Z W F s d G g g Q X N z d X J h b m N l L D h 9 J n F 1 b 3 Q 7 L C Z x d W 9 0 O 1 N l Y 3 R p b 2 4 x L 0 V t c G x v e W V l X 0 N h b G N 1 b G F 0 Z V 9 T Y W x h c n k v Q X V 0 b 1 J l b W 9 2 Z W R D b 2 x 1 b W 5 z M S 5 7 U H J v d m l k Z W 5 0 I E Z 1 b m Q s O X 0 m c X V v d D s s J n F 1 b 3 Q 7 U 2 V j d G l v b j E v R W 1 w b G 9 5 Z W V f Q 2 F s Y 3 V s Y X R l X 1 N h b G F y e S 9 B d X R v U m V t b 3 Z l Z E N v b H V t b n M x L n t F b X B s b 3 l l Z S B T Y W x h c n k g L S B Q c m 9 2 a W R l b n Q g R n V u Z C w x M H 0 m c X V v d D s s J n F 1 b 3 Q 7 U 2 V j d G l v b j E v R W 1 w b G 9 5 Z W V f Q 2 F s Y 3 V s Y X R l X 1 N h b G F y e S 9 B d X R v U m V t b 3 Z l Z E N v b H V t b n M x L n t J b m N v b W U g V G F 4 L D E x f S Z x d W 9 0 O y w m c X V v d D t T Z W N 0 a W 9 u M S 9 F b X B s b 3 l l Z V 9 D Y W x j d W x h d G V f U 2 F s Y X J 5 L 0 F 1 d G 9 S Z W 1 v d m V k Q 2 9 s d W 1 u c z E u e 0 V t c G x v e W V l I F N h b G F y e S A t I E l u Y 2 9 t Z S B U Y X g s M T J 9 J n F 1 b 3 Q 7 X S w m c X V v d D t S Z W x h d G l v b n N o a X B J b m Z v J n F 1 b 3 Q 7 O l t d f S I g L z 4 8 L 1 N 0 Y W J s Z U V u d H J p Z X M + P C 9 J d G V t P j x J d G V t P j x J d G V t T G 9 j Y X R p b 2 4 + P E l 0 Z W 1 U e X B l P k Z v c m 1 1 b G E 8 L 0 l 0 Z W 1 U e X B l P j x J d G V t U G F 0 a D 5 T Z W N 0 a W 9 u M S 9 F b X B s b 3 l l Z V 9 D Y W x j d W x h d G V f U 2 F s Y X J 5 L 1 N v d X J j Z T w v S X R l b V B h d G g + P C 9 J d G V t T G 9 j Y X R p b 2 4 + P F N 0 Y W J s Z U V u d H J p Z X M g L z 4 8 L 0 l 0 Z W 0 + P E l 0 Z W 0 + P E l 0 Z W 1 M b 2 N h d G l v b j 4 8 S X R l b V R 5 c G U + R m 9 y b X V s Y T w v S X R l b V R 5 c G U + P E l 0 Z W 1 Q Y X R o P l N l Y 3 R p b 2 4 x L 0 V t c G x v e W V l X 0 N h b G N 1 b G F 0 Z V 9 T Y W x h c n k v Q 2 h h b m d l Z C U y M F R 5 c G U 8 L 0 l 0 Z W 1 Q Y X R o P j w v S X R l b U x v Y 2 F 0 a W 9 u P j x T d G F i b G V F b n R y a W V z I C 8 + P C 9 J d G V t P j w v S X R l b X M + P C 9 M b 2 N h b F B h Y 2 t h Z 2 V N Z X R h Z G F 0 Y U Z p b G U + F g A A A F B L B Q Y A A A A A A A A A A A A A A A A A A A A A A A A m A Q A A A Q A A A N C M n d 8 B F d E R j H o A w E / C l + s B A A A A x w F E 7 E c B r 0 2 9 z g 0 L / O B f g A A A A A A C A A A A A A A Q Z g A A A A E A A C A A A A C p q L b P k r C 5 a f n e 5 u C q b w R D x h o g C i P K K u v A T t 3 B u 7 N N l A A A A A A O g A A A A A I A A C A A A A B / t b D I p l + E L I y L o N L t T L Z F a B g 3 n + i Y t W u C h S p U C J Q w Q 1 A A A A A o + i f f d 4 m 9 / r 9 D X p v H L X l A O J 6 r 4 t r W k q i i V j 1 1 u w C F w 8 y l I Q N 0 j + K g e H X 1 0 U R 9 l Y 9 E H q a Z V y E E g W 8 X Z D 9 b R j f P F P C 0 4 z U N B M 0 E K z 1 w p U O q o k A A A A B f 6 M V 8 X Q y x L s 6 T 7 v B u L S b E X J i j f z C g j k m k 7 D k e 0 k w / + k f X O S 4 2 e G S + U F r C o S Z i x s s r 3 h V h t u f o A r c W w q S O w o O h < / D a t a M a s h u p > 
</file>

<file path=customXml/item14.xml>��< ? x m l   v e r s i o n = " 1 . 0 "   e n c o d i n g = " U T F - 1 6 " ? > < G e m i n i   x m l n s = " h t t p : / / g e m i n i / p i v o t c u s t o m i z a t i o n / T a b l e X M L _ S e c o n d _ S e m e s t e r _ S G P A " > < 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 E n g l i s h   L a n g u a g e   -   I I < / s t r i n g > < / k e y > < v a l u e > < i n t > 1 6 0 < / i n t > < / v a l u e > < / i t e m > < i t e m > < k e y > < s t r i n g > E n g l i s h   L a n g u a g e   -   I I   C r e d i t < / s t r i n g > < / k e y > < v a l u e > < i n t > 2 0 1 < / i n t > < / v a l u e > < / i t e m > < i t e m > < k e y > < s t r i n g > E n g l i s h   L a n g u a g e   -   I I   ( T o t a l   G r a d e   +   C r e d i t ) < / s t r i n g > < / k e y > < v a l u e > < i n t > 2 9 4 < / i n t > < / v a l u e > < / i t e m > < i t e m > < k e y > < s t r i n g > S t r u c t u r e d   P r o g r a m m i n g < / s t r i n g > < / k e y > < v a l u e > < i n t > 1 8 7 < / i n t > < / v a l u e > < / i t e m > < i t e m > < k e y > < s t r i n g > S t r u c t u r e d   P r o g r a m m i n g   C r e d i t < / s t r i n g > < / k e y > < v a l u e > < i n t > 2 2 8 < / i n t > < / v a l u e > < / i t e m > < i t e m > < k e y > < s t r i n g > S t r u c t u r e d   P r o g r a m m i n g   ( T o t a l   G r a d e   +   C r e d i t ) < / s t r i n g > < / k e y > < v a l u e > < i n t > 3 2 1 < / i n t > < / v a l u e > < / i t e m > < i t e m > < k e y > < s t r i n g > F u n d a m e n t a l   W e b s i t e   D e v e l o p m e n t < / s t r i n g > < / k e y > < v a l u e > < i n t > 2 6 0 < / i n t > < / v a l u e > < / i t e m > < i t e m > < k e y > < s t r i n g > F u n d a m e n t a l   W e b s i t e   D e v e l o p m e n t   C r e d i t < / s t r i n g > < / k e y > < v a l u e > < i n t > 3 0 1 < / i n t > < / v a l u e > < / i t e m > < i t e m > < k e y > < s t r i n g > F u n d a m e n t a l   W e b s i t e   D e v e l o p m e n t   ( T o t a l   G r a d e   +   C r e d i t ) < / s t r i n g > < / k e y > < v a l u e > < i n t > 3 9 4 < / i n t > < / v a l u e > < / i t e m > < i t e m > < k e y > < s t r i n g > S t r u c t u r e d   P r o g r a m m i n g   L a b < / s t r i n g > < / k e y > < v a l u e > < i n t > 2 1 1 < / i n t > < / v a l u e > < / i t e m > < i t e m > < k e y > < s t r i n g > S t r u c t u r e d   P r o g r a m m i n g   L a b   C r e d i t < / s t r i n g > < / k e y > < v a l u e > < i n t > 2 5 2 < / i n t > < / v a l u e > < / i t e m > < i t e m > < k e y > < s t r i n g > S t r u c t u r e d   P r o g r a m m i n g   L a b   ( T o t a l   G r a d e   +   C r e d i t ) < / s t r i n g > < / k e y > < v a l u e > < i n t > 3 4 5 < / i n t > < / v a l u e > < / i t e m > < i t e m > < k e y > < s t r i n g > F u n d a m e n t a l   W e b s i t e   D e v e l o p m e n t   L a b < / s t r i n g > < / k e y > < v a l u e > < i n t > 2 8 4 < / i n t > < / v a l u e > < / i t e m > < i t e m > < k e y > < s t r i n g > F u n d a m e n t a l   W e b s i t e   D e v e l o p m e n t   L a b   C r e d i t < / s t r i n g > < / k e y > < v a l u e > < i n t > 3 2 5 < / i n t > < / v a l u e > < / i t e m > < i t e m > < k e y > < s t r i n g > F u n d a m e n t a l   W e b s i t e   D e v e l o p m e n t   L a b   ( T o t a l   G r a d e   +   C r e d i t ) < / s t r i n g > < / k e y > < v a l u e > < i n t > 4 1 8 < / i n t > < / v a l u e > < / i t e m > < i t e m > < k e y > < s t r i n g > T o t a l   S u b j e c t   C r e d i t < / s t r i n g > < / k e y > < v a l u e > < i n t > 1 5 6 < / i n t > < / v a l u e > < / i t e m > < i t e m > < k e y > < s t r i n g > 2 n d   S e m e s t e r   ( S G P A ) < / s t r i n g > < / k e y > < v a l u e > < i n t > 1 6 6 < / i n t > < / v a l u e > < / i t e m > < / C o l u m n W i d t h s > < C o l u m n D i s p l a y I n d e x > < i t e m > < k e y > < s t r i n g > R o l l   N o < / s t r i n g > < / k e y > < v a l u e > < i n t > 0 < / i n t > < / v a l u e > < / i t e m > < i t e m > < k e y > < s t r i n g > N a m e   o f   S t u d e n t < / s t r i n g > < / k e y > < v a l u e > < i n t > 1 < / i n t > < / v a l u e > < / i t e m > < i t e m > < k e y > < s t r i n g > E n g l i s h   L a n g u a g e   -   I I < / s t r i n g > < / k e y > < v a l u e > < i n t > 2 < / i n t > < / v a l u e > < / i t e m > < i t e m > < k e y > < s t r i n g > E n g l i s h   L a n g u a g e   -   I I   C r e d i t < / s t r i n g > < / k e y > < v a l u e > < i n t > 3 < / i n t > < / v a l u e > < / i t e m > < i t e m > < k e y > < s t r i n g > E n g l i s h   L a n g u a g e   -   I I   ( T o t a l   G r a d e   +   C r e d i t ) < / s t r i n g > < / k e y > < v a l u e > < i n t > 4 < / i n t > < / v a l u e > < / i t e m > < i t e m > < k e y > < s t r i n g > S t r u c t u r e d   P r o g r a m m i n g < / s t r i n g > < / k e y > < v a l u e > < i n t > 5 < / i n t > < / v a l u e > < / i t e m > < i t e m > < k e y > < s t r i n g > S t r u c t u r e d   P r o g r a m m i n g   C r e d i t < / s t r i n g > < / k e y > < v a l u e > < i n t > 6 < / i n t > < / v a l u e > < / i t e m > < i t e m > < k e y > < s t r i n g > S t r u c t u r e d   P r o g r a m m i n g   ( T o t a l   G r a d e   +   C r e d i t ) < / s t r i n g > < / k e y > < v a l u e > < i n t > 7 < / i n t > < / v a l u e > < / i t e m > < i t e m > < k e y > < s t r i n g > F u n d a m e n t a l   W e b s i t e   D e v e l o p m e n t < / s t r i n g > < / k e y > < v a l u e > < i n t > 8 < / i n t > < / v a l u e > < / i t e m > < i t e m > < k e y > < s t r i n g > F u n d a m e n t a l   W e b s i t e   D e v e l o p m e n t   C r e d i t < / s t r i n g > < / k e y > < v a l u e > < i n t > 9 < / i n t > < / v a l u e > < / i t e m > < i t e m > < k e y > < s t r i n g > F u n d a m e n t a l   W e b s i t e   D e v e l o p m e n t   ( T o t a l   G r a d e   +   C r e d i t ) < / s t r i n g > < / k e y > < v a l u e > < i n t > 1 0 < / i n t > < / v a l u e > < / i t e m > < i t e m > < k e y > < s t r i n g > S t r u c t u r e d   P r o g r a m m i n g   L a b < / s t r i n g > < / k e y > < v a l u e > < i n t > 1 1 < / i n t > < / v a l u e > < / i t e m > < i t e m > < k e y > < s t r i n g > S t r u c t u r e d   P r o g r a m m i n g   L a b   C r e d i t < / s t r i n g > < / k e y > < v a l u e > < i n t > 1 2 < / i n t > < / v a l u e > < / i t e m > < i t e m > < k e y > < s t r i n g > S t r u c t u r e d   P r o g r a m m i n g   L a b   ( T o t a l   G r a d e   +   C r e d i t ) < / s t r i n g > < / k e y > < v a l u e > < i n t > 1 3 < / i n t > < / v a l u e > < / i t e m > < i t e m > < k e y > < s t r i n g > F u n d a m e n t a l   W e b s i t e   D e v e l o p m e n t   L a b < / s t r i n g > < / k e y > < v a l u e > < i n t > 1 4 < / i n t > < / v a l u e > < / i t e m > < i t e m > < k e y > < s t r i n g > F u n d a m e n t a l   W e b s i t e   D e v e l o p m e n t   L a b   C r e d i t < / s t r i n g > < / k e y > < v a l u e > < i n t > 1 5 < / i n t > < / v a l u e > < / i t e m > < i t e m > < k e y > < s t r i n g > F u n d a m e n t a l   W e b s i t e   D e v e l o p m e n t   L a b   ( T o t a l   G r a d e   +   C r e d i t ) < / s t r i n g > < / k e y > < v a l u e > < i n t > 1 6 < / i n t > < / v a l u e > < / i t e m > < i t e m > < k e y > < s t r i n g > T o t a l   S u b j e c t   C r e d i t < / s t r i n g > < / k e y > < v a l u e > < i n t > 1 7 < / i n t > < / v a l u e > < / i t e m > < i t e m > < k e y > < s t r i n g > 2 n d   S e m e s t e r   ( S G P A ) < / s t r i n g > < / k e y > < v a l u e > < i n t > 1 8 < / 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a n d b o x N o n E m p t y " > < C u s t o m C o n t e n t > < ! [ C D A T A [ 1 ] ] > < / C u s t o m C o n t e n t > < / G e m i n i > 
</file>

<file path=customXml/item16.xml>��< ? x m l   v e r s i o n = " 1 . 0 "   e n c o d i n g = " U T F - 1 6 " ? > < G e m i n i   x m l n s = " h t t p : / / g e m i n i / p i v o t c u s t o m i z a t i o n / L i n k e d T a b l e U p d a t e M o d e " > < C u s t o m C o n t e n t > < ! [ C D A T A [ T r u e ] ] > < / C u s t o m C o n t e n t > < / G e m i n i > 
</file>

<file path=customXml/item17.xml>��< ? x m l   v e r s i o n = " 1 . 0 "   e n c o d i n g = " U T F - 1 6 " ? > < G e m i n i   x m l n s = " h t t p : / / g e m i n i / p i v o t c u s t o m i z a t i o n / T a b l e X M L _ E m p l o y e e _ C a l c u l a t e _ S a l a r y " > < C u s t o m C o n t e n t > < ! [ C D A T A [ < T a b l e W i d g e t G r i d S e r i a l i z a t i o n   x m l n s : x s d = " h t t p : / / w w w . w 3 . o r g / 2 0 0 1 / X M L S c h e m a "   x m l n s : x s i = " h t t p : / / w w w . w 3 . o r g / 2 0 0 1 / X M L S c h e m a - i n s t a n c e " > < C o l u m n S u g g e s t e d T y p e   / > < C o l u m n F o r m a t   / > < C o l u m n A c c u r a c y   / > < C o l u m n C u r r e n c y S y m b o l   / > < C o l u m n P o s i t i v e P a t t e r n   / > < C o l u m n N e g a t i v e P a t t e r n   / > < C o l u m n W i d t h s > < i t e m > < k e y > < s t r i n g > E m p l o y e e   I D < / s t r i n g > < / k e y > < v a l u e > < i n t > 1 1 4 < / i n t > < / v a l u e > < / i t e m > < i t e m > < k e y > < s t r i n g > N a m e   o f   E m p l o y e e < / s t r i n g > < / k e y > < v a l u e > < i n t > 1 5 4 < / i n t > < / v a l u e > < / i t e m > < i t e m > < k e y > < s t r i n g > E m p l o y e e   S a l a r y < / s t r i n g > < / k e y > < v a l u e > < i n t > 1 3 8 < / i n t > < / v a l u e > < / i t e m > < i t e m > < k e y > < s t r i n g > H o u s e   R e n t < / s t r i n g > < / k e y > < v a l u e > < i n t > 1 0 7 < / i n t > < / v a l u e > < / i t e m > < i t e m > < k e y > < s t r i n g > E m p l o y e e   S a l a r y   -   H o u s e   R e n t < / s t r i n g > < / k e y > < v a l u e > < i n t > 2 2 0 < / i n t > < / v a l u e > < / i t e m > < i t e m > < k e y > < s t r i n g > S p e c i a l   A l l o w a n c e < / s t r i n g > < / k e y > < v a l u e > < i n t > 1 4 8 < / i n t > < / v a l u e > < / i t e m > < i t e m > < k e y > < s t r i n g > E m p l o y e e   S a l a r y   -   S p e c i a l   A l l o w a n c e < / s t r i n g > < / k e y > < v a l u e > < i n t > 2 6 1 < / i n t > < / v a l u e > < / i t e m > < i t e m > < k e y > < s t r i n g > H e a l t h   A s s u r a n c e < / s t r i n g > < / k e y > < v a l u e > < i n t > 1 4 3 < / i n t > < / v a l u e > < / i t e m > < i t e m > < k e y > < s t r i n g > E m p l o y e e   S a l a r y   -   H e a l t h   A s s u r a n c e < / s t r i n g > < / k e y > < v a l u e > < i n t > 2 5 6 < / i n t > < / v a l u e > < / i t e m > < i t e m > < k e y > < s t r i n g > P r o v i d e n t   F u n d < / s t r i n g > < / k e y > < v a l u e > < i n t > 1 3 1 < / i n t > < / v a l u e > < / i t e m > < i t e m > < k e y > < s t r i n g > E m p l o y e e   S a l a r y   -   P r o v i d e n t   F u n d < / s t r i n g > < / k e y > < v a l u e > < i n t > 2 4 4 < / i n t > < / v a l u e > < / i t e m > < i t e m > < k e y > < s t r i n g > I n c o m e   T a x < / s t r i n g > < / k e y > < v a l u e > < i n t > 1 0 5 < / i n t > < / v a l u e > < / i t e m > < i t e m > < k e y > < s t r i n g > E m p l o y e e   S a l a r y   -   I n c o m e   T a x < / s t r i n g > < / k e y > < v a l u e > < i n t > 2 1 8 < / i n t > < / v a l u e > < / i t e m > < / C o l u m n W i d t h s > < C o l u m n D i s p l a y I n d e x > < i t e m > < k e y > < s t r i n g > E m p l o y e e   I D < / s t r i n g > < / k e y > < v a l u e > < i n t > 0 < / i n t > < / v a l u e > < / i t e m > < i t e m > < k e y > < s t r i n g > N a m e   o f   E m p l o y e e < / s t r i n g > < / k e y > < v a l u e > < i n t > 1 < / i n t > < / v a l u e > < / i t e m > < i t e m > < k e y > < s t r i n g > E m p l o y e e   S a l a r y < / s t r i n g > < / k e y > < v a l u e > < i n t > 2 < / i n t > < / v a l u e > < / i t e m > < i t e m > < k e y > < s t r i n g > H o u s e   R e n t < / s t r i n g > < / k e y > < v a l u e > < i n t > 3 < / i n t > < / v a l u e > < / i t e m > < i t e m > < k e y > < s t r i n g > E m p l o y e e   S a l a r y   -   H o u s e   R e n t < / s t r i n g > < / k e y > < v a l u e > < i n t > 4 < / i n t > < / v a l u e > < / i t e m > < i t e m > < k e y > < s t r i n g > S p e c i a l   A l l o w a n c e < / s t r i n g > < / k e y > < v a l u e > < i n t > 5 < / i n t > < / v a l u e > < / i t e m > < i t e m > < k e y > < s t r i n g > E m p l o y e e   S a l a r y   -   S p e c i a l   A l l o w a n c e < / s t r i n g > < / k e y > < v a l u e > < i n t > 6 < / i n t > < / v a l u e > < / i t e m > < i t e m > < k e y > < s t r i n g > H e a l t h   A s s u r a n c e < / s t r i n g > < / k e y > < v a l u e > < i n t > 7 < / i n t > < / v a l u e > < / i t e m > < i t e m > < k e y > < s t r i n g > E m p l o y e e   S a l a r y   -   H e a l t h   A s s u r a n c e < / s t r i n g > < / k e y > < v a l u e > < i n t > 8 < / i n t > < / v a l u e > < / i t e m > < i t e m > < k e y > < s t r i n g > P r o v i d e n t   F u n d < / s t r i n g > < / k e y > < v a l u e > < i n t > 9 < / i n t > < / v a l u e > < / i t e m > < i t e m > < k e y > < s t r i n g > E m p l o y e e   S a l a r y   -   P r o v i d e n t   F u n d < / s t r i n g > < / k e y > < v a l u e > < i n t > 1 0 < / i n t > < / v a l u e > < / i t e m > < i t e m > < k e y > < s t r i n g > I n c o m e   T a x < / s t r i n g > < / k e y > < v a l u e > < i n t > 1 1 < / i n t > < / v a l u e > < / i t e m > < i t e m > < k e y > < s t r i n g > E m p l o y e e   S a l a r y   -   I n c o m e   T a x < / s t r i n g > < / k e y > < v a l u e > < i n t > 1 2 < / i n t > < / v a l u e > < / i t e m > < / C o l u m n D i s p l a y I n d e x > < C o l u m n F r o z e n   / > < C o l u m n C h e c k e d   / > < C o l u m n F i l t e r   / > < S e l e c t i o n F i l t e r   / > < F i l t e r P a r a m e t e r s   / > < I s S o r t D e s c e n d i n g > f a l s e < / I s S o r t D e s c e n d i n g > < / T a b l e W i d g e t G r i d S e r i a l i z a t i o n > ] ] > < / C u s t o m C o n t e n t > < / G e m i n i > 
</file>

<file path=customXml/item18.xml>��< ? x m l   v e r s i o n = " 1 . 0 "   e n c o d i n g = " U T F - 1 6 " ? > < G e m i n i   x m l n s = " h t t p : / / g e m i n i / p i v o t c u s t o m i z a t i o n / T a b l e X M L _ T h i r d _ S e m e s t e r _ D a t a _ S t r u c t u r e _ L a b " > < 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 L a b   P e r f o m a n c e < / s t r i n g > < / k e y > < v a l u e > < i n t > 1 3 5 < / i n t > < / v a l u e > < / i t e m > < i t e m > < k e y > < s t r i n g > A t t e n d a n c e < / s t r i n g > < / k e y > < v a l u e > < i n t > 1 0 8 < / i n t > < / v a l u e > < / i t e m > < i t e m > < k e y > < s t r i n g > A s s i g n m e n t < / s t r i n g > < / k e y > < v a l u e > < i n t > 1 0 9 < / i n t > < / v a l u e > < / i t e m > < i t e m > < k e y > < s t r i n g > F i n a l < / s t r i n g > < / k e y > < v a l u e > < i n t > 6 6 < / i n t > < / v a l u e > < / i t e m > < i t e m > < k e y > < s t r i n g > A s s   & a m p ;   F i n a l < / s t r i n g > < / k e y > < v a l u e > < i n t > 1 0 3 < / i n t > < / v a l u e > < / i t e m > < i t e m > < k e y > < s t r i n g > R o u n d   o f   A   & a m p ;   F < / s t r i n g > < / k e y > < v a l u e > < i n t > 1 2 7 < / 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 L a b   P e r f o m a n c e < / s t r i n g > < / k e y > < v a l u e > < i n t > 2 < / i n t > < / v a l u e > < / i t e m > < i t e m > < k e y > < s t r i n g > A t t e n d a n c e < / s t r i n g > < / k e y > < v a l u e > < i n t > 3 < / i n t > < / v a l u e > < / i t e m > < i t e m > < k e y > < s t r i n g > A s s i g n m e n t < / s t r i n g > < / k e y > < v a l u e > < i n t > 4 < / i n t > < / v a l u e > < / i t e m > < i t e m > < k e y > < s t r i n g > F i n a l < / s t r i n g > < / k e y > < v a l u e > < i n t > 5 < / i n t > < / v a l u e > < / i t e m > < i t e m > < k e y > < s t r i n g > A s s   & a m p ;   F i n a l < / s t r i n g > < / k e y > < v a l u e > < i n t > 6 < / i n t > < / v a l u e > < / i t e m > < i t e m > < k e y > < s t r i n g > R o u n d   o f   A   & a m p ;   F < / s t r i n g > < / k e y > < v a l u e > < i n t > 7 < / i n t > < / v a l u e > < / i t e m > < i t e m > < k e y > < s t r i n g > T o t a l < / s t r i n g > < / k e y > < v a l u e > < i n t > 8 < / i n t > < / v a l u e > < / i t e m > < i t e m > < k e y > < s t r i n g > G r a d e   S c a l e < / s t r i n g > < / k e y > < v a l u e > < i n t > 9 < / i n t > < / v a l u e > < / i t e m > < i t e m > < k e y > < s t r i n g > G r a d e   P o i n t < / s t r i n g > < / k e y > < v a l u e > < i n t > 1 0 < / i n t > < / v a l u e > < / i t e m > < i t e m > < k e y > < s t r i n g > R e m a r k s < / s t r i n g > < / k e y > < v a l u e > < i n t > 1 1 < / 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I s S a n d b o x E m b e d d e d " > < C u s t o m C o n t e n t > < ! [ C D A T A [ y e s ] ] > < / C u s t o m C o n t e n t > < / G e m i n i > 
</file>

<file path=customXml/item2.xml>��< ? x m l   v e r s i o n = " 1 . 0 "   e n c o d i n g = " U T F - 1 6 " ? > < G e m i n i   x m l n s = " h t t p : / / g e m i n i / p i v o t c u s t o m i z a t i o n / T a b l e X M L _ C o v e r _ P a g 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 9 1 < / 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X M L _ S e c o n d _ S e m e s t e r _ S t r u c t u r e d _ P r o g r a m m i n g " > < 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 A t t e n d a n c e < / s t r i n g > < / k e y > < v a l u e > < i n t > 1 0 8 < / i n t > < / v a l u e > < / i t e m > < i t e m > < k e y > < s t r i n g > A s s i g n m e n t < / s t r i n g > < / k e y > < v a l u e > < i n t > 1 0 9 < / i n t > < / v a l u e > < / i t e m > < i t e m > < k e y > < s t r i n g > F i n a l < / s t r i n g > < / k e y > < v a l u e > < i n t > 6 6 < / i n t > < / v a l u e > < / i t e m > < i t e m > < k e y > < s t r i n g > A s s   & a m p ;   F i n a l < / s t r i n g > < / k e y > < v a l u e > < i n t > 1 0 3 < / i n t > < / v a l u e > < / i t e m > < i t e m > < k e y > < s t r i n g > R o u n d   o f   A   & a m p ;   F < / s t r i n g > < / k e y > < v a l u e > < i n t > 1 2 7 < / 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 A t t e n d a n c e < / s t r i n g > < / k e y > < v a l u e > < i n t > 7 < / i n t > < / v a l u e > < / i t e m > < i t e m > < k e y > < s t r i n g > A s s i g n m e n t < / s t r i n g > < / k e y > < v a l u e > < i n t > 8 < / i n t > < / v a l u e > < / i t e m > < i t e m > < k e y > < s t r i n g > F i n a l < / s t r i n g > < / k e y > < v a l u e > < i n t > 9 < / i n t > < / v a l u e > < / i t e m > < i t e m > < k e y > < s t r i n g > A s s   & a m p ;   F i n a l < / s t r i n g > < / k e y > < v a l u e > < i n t > 1 0 < / i n t > < / v a l u e > < / i t e m > < i t e m > < k e y > < s t r i n g > R o u n d   o f   A   & a m p ;   F < / s t r i n g > < / k e y > < v a l u e > < i n t > 1 1 < / i n t > < / v a l u e > < / i t e m > < i t e m > < k e y > < s t r i n g > T o t a l < / s t r i n g > < / k e y > < v a l u e > < i n t > 1 2 < / i n t > < / v a l u e > < / i t e m > < i t e m > < k e y > < s t r i n g > G r a d e   S c a l e < / s t r i n g > < / k e y > < v a l u e > < i n t > 1 3 < / i n t > < / v a l u e > < / i t e m > < i t e m > < k e y > < s t r i n g > G r a d e   P o i n t < / s t r i n g > < / k e y > < v a l u e > < i n t > 1 4 < / i n t > < / v a l u e > < / i t e m > < i t e m > < k e y > < s t r i n g > R e m a r k s < / s t r i n g > < / k e y > < v a l u e > < i n t > 1 5 < / 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T a b l e X M L _ B a s i c _ K n o w l e d g e " > < 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 9 1 < / 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22.xml>��< ? x m l   v e r s i o n = " 1 . 0 "   e n c o d i n g = " U T F - 1 6 " ? > < G e m i n i   x m l n s = " h t t p : / / g e m i n i / p i v o t c u s t o m i z a t i o n / T a b l e X M L _ S e c o n d _ S e m e s t e r _ F u n d a m e n t a l _ W e b s i t e _ D e v e l o p m e n t " > < 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 A t t e n d a n c e < / s t r i n g > < / k e y > < v a l u e > < i n t > 1 0 8 < / i n t > < / v a l u e > < / i t e m > < i t e m > < k e y > < s t r i n g > A s s i g n m e n t < / s t r i n g > < / k e y > < v a l u e > < i n t > 1 0 9 < / i n t > < / v a l u e > < / i t e m > < i t e m > < k e y > < s t r i n g > F i n a l < / s t r i n g > < / k e y > < v a l u e > < i n t > 6 6 < / i n t > < / v a l u e > < / i t e m > < i t e m > < k e y > < s t r i n g > A s s   & a m p ;   F i n a l < / s t r i n g > < / k e y > < v a l u e > < i n t > 1 0 3 < / i n t > < / v a l u e > < / i t e m > < i t e m > < k e y > < s t r i n g > R o u n d   o f   A   & a m p ;   F < / s t r i n g > < / k e y > < v a l u e > < i n t > 1 2 7 < / 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 A t t e n d a n c e < / s t r i n g > < / k e y > < v a l u e > < i n t > 7 < / i n t > < / v a l u e > < / i t e m > < i t e m > < k e y > < s t r i n g > A s s i g n m e n t < / s t r i n g > < / k e y > < v a l u e > < i n t > 8 < / i n t > < / v a l u e > < / i t e m > < i t e m > < k e y > < s t r i n g > F i n a l < / s t r i n g > < / k e y > < v a l u e > < i n t > 9 < / i n t > < / v a l u e > < / i t e m > < i t e m > < k e y > < s t r i n g > A s s   & a m p ;   F i n a l < / s t r i n g > < / k e y > < v a l u e > < i n t > 1 0 < / i n t > < / v a l u e > < / i t e m > < i t e m > < k e y > < s t r i n g > R o u n d   o f   A   & a m p ;   F < / s t r i n g > < / k e y > < v a l u e > < i n t > 1 1 < / i n t > < / v a l u e > < / i t e m > < i t e m > < k e y > < s t r i n g > T o t a l < / s t r i n g > < / k e y > < v a l u e > < i n t > 1 2 < / i n t > < / v a l u e > < / i t e m > < i t e m > < k e y > < s t r i n g > G r a d e   S c a l e < / s t r i n g > < / k e y > < v a l u e > < i n t > 1 3 < / i n t > < / v a l u e > < / i t e m > < i t e m > < k e y > < s t r i n g > G r a d e   P o i n t < / s t r i n g > < / k e y > < v a l u e > < i n t > 1 4 < / i n t > < / v a l u e > < / i t e m > < i t e m > < k e y > < s t r i n g > R e m a r k s < / s t r i n g > < / k e y > < v a l u e > < i n t > 1 5 < / 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T a b l e X M L _ T h i r d _ S e m e s t e r _ S G P A " > < 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 S t u d y   a n d   C o m m u n i c a t i o n   S k i l l s < / s t r i n g > < / k e y > < v a l u e > < i n t > 2 3 2 < / i n t > < / v a l u e > < / i t e m > < i t e m > < k e y > < s t r i n g > S t u d y   a n d   C o m m u n i c a t i o n   S k i l l s   C r e d i t < / s t r i n g > < / k e y > < v a l u e > < i n t > 2 7 3 < / i n t > < / v a l u e > < / i t e m > < i t e m > < k e y > < s t r i n g > S t u d y   a n d   C o m m u n i c a t i o n   S k i l l s   ( T o t a l   G r a d e   +   C r e d i t ) < / s t r i n g > < / k e y > < v a l u e > < i n t > 3 6 6 < / i n t > < / v a l u e > < / i t e m > < i t e m > < k e y > < s t r i n g > D a t a   S t r u c t u r e < / s t r i n g > < / k e y > < v a l u e > < i n t > 1 2 4 < / i n t > < / v a l u e > < / i t e m > < i t e m > < k e y > < s t r i n g > D a t a   S t r u c t u r e   C r e d i t < / s t r i n g > < / k e y > < v a l u e > < i n t > 1 6 5 < / i n t > < / v a l u e > < / i t e m > < i t e m > < k e y > < s t r i n g > D a t a   S t r u c t u r e   ( T o t a l   G r a d e   +   C r e d i t ) < / s t r i n g > < / k e y > < v a l u e > < i n t > 2 5 8 < / i n t > < / v a l u e > < / i t e m > < i t e m > < k e y > < s t r i n g > C o m p u t e r   N e t w o r k < / s t r i n g > < / k e y > < v a l u e > < i n t > 1 5 5 < / i n t > < / v a l u e > < / i t e m > < i t e m > < k e y > < s t r i n g > C o m p u t e r   N e t w o r k   C r e d i t < / s t r i n g > < / k e y > < v a l u e > < i n t > 1 9 6 < / i n t > < / v a l u e > < / i t e m > < i t e m > < k e y > < s t r i n g > C o m p u t e r   N e t w o r k   ( T o t a l   G r a d e   +   C r e d i t ) < / s t r i n g > < / k e y > < v a l u e > < i n t > 2 8 9 < / i n t > < / v a l u e > < / i t e m > < i t e m > < k e y > < s t r i n g > D a t a   S t r u c t u r e   L a b < / s t r i n g > < / k e y > < v a l u e > < i n t > 1 4 8 < / i n t > < / v a l u e > < / i t e m > < i t e m > < k e y > < s t r i n g > D a t a   S t r u c t u r e   L a b   C r e d i t < / s t r i n g > < / k e y > < v a l u e > < i n t > 1 8 9 < / i n t > < / v a l u e > < / i t e m > < i t e m > < k e y > < s t r i n g > D a t a   S t r u c t u r e   L a b   ( T o t a l   G r a d e   +   C r e d i t ) < / s t r i n g > < / k e y > < v a l u e > < i n t > 2 8 2 < / i n t > < / v a l u e > < / i t e m > < i t e m > < k e y > < s t r i n g > C o m p u t e r   N e t w o r k   L a b < / s t r i n g > < / k e y > < v a l u e > < i n t > 1 7 9 < / i n t > < / v a l u e > < / i t e m > < i t e m > < k e y > < s t r i n g > C o m p u t e r   N e t w o r k   L a b   C r e d i t < / s t r i n g > < / k e y > < v a l u e > < i n t > 2 2 0 < / i n t > < / v a l u e > < / i t e m > < i t e m > < k e y > < s t r i n g > C o m p u t e r   N e t w o r k   L a b   ( T o t a l   G r a d e   +   C r e d i t ) < / s t r i n g > < / k e y > < v a l u e > < i n t > 3 1 3 < / i n t > < / v a l u e > < / i t e m > < i t e m > < k e y > < s t r i n g > D i s c r e t e   M a t h e m a t i c s < / s t r i n g > < / k e y > < v a l u e > < i n t > 1 6 9 < / i n t > < / v a l u e > < / i t e m > < i t e m > < k e y > < s t r i n g > D i s c r e t e   M a t h e m a t i c s   C r e d i t < / s t r i n g > < / k e y > < v a l u e > < i n t > 2 1 0 < / i n t > < / v a l u e > < / i t e m > < i t e m > < k e y > < s t r i n g > D i s c r e t e   M a t h e m a t i c s   ( T o t a l   G r a d e   +   C r e d i t ) < / s t r i n g > < / k e y > < v a l u e > < i n t > 3 0 3 < / i n t > < / v a l u e > < / i t e m > < i t e m > < k e y > < s t r i n g > T o t a l   S u b j e c t   C r e d i t < / s t r i n g > < / k e y > < v a l u e > < i n t > 1 5 6 < / i n t > < / v a l u e > < / i t e m > < i t e m > < k e y > < s t r i n g > 3 r d   S e m e s t e r   ( S G P A ) < / s t r i n g > < / k e y > < v a l u e > < i n t > 1 6 3 < / i n t > < / v a l u e > < / i t e m > < / C o l u m n W i d t h s > < C o l u m n D i s p l a y I n d e x > < i t e m > < k e y > < s t r i n g > R o l l   N o < / s t r i n g > < / k e y > < v a l u e > < i n t > 0 < / i n t > < / v a l u e > < / i t e m > < i t e m > < k e y > < s t r i n g > N a m e   o f   S t u d e n t < / s t r i n g > < / k e y > < v a l u e > < i n t > 1 < / i n t > < / v a l u e > < / i t e m > < i t e m > < k e y > < s t r i n g > S t u d y   a n d   C o m m u n i c a t i o n   S k i l l s < / s t r i n g > < / k e y > < v a l u e > < i n t > 2 < / i n t > < / v a l u e > < / i t e m > < i t e m > < k e y > < s t r i n g > S t u d y   a n d   C o m m u n i c a t i o n   S k i l l s   C r e d i t < / s t r i n g > < / k e y > < v a l u e > < i n t > 3 < / i n t > < / v a l u e > < / i t e m > < i t e m > < k e y > < s t r i n g > S t u d y   a n d   C o m m u n i c a t i o n   S k i l l s   ( T o t a l   G r a d e   +   C r e d i t ) < / s t r i n g > < / k e y > < v a l u e > < i n t > 4 < / i n t > < / v a l u e > < / i t e m > < i t e m > < k e y > < s t r i n g > D a t a   S t r u c t u r e < / s t r i n g > < / k e y > < v a l u e > < i n t > 5 < / i n t > < / v a l u e > < / i t e m > < i t e m > < k e y > < s t r i n g > D a t a   S t r u c t u r e   C r e d i t < / s t r i n g > < / k e y > < v a l u e > < i n t > 6 < / i n t > < / v a l u e > < / i t e m > < i t e m > < k e y > < s t r i n g > D a t a   S t r u c t u r e   ( T o t a l   G r a d e   +   C r e d i t ) < / s t r i n g > < / k e y > < v a l u e > < i n t > 7 < / i n t > < / v a l u e > < / i t e m > < i t e m > < k e y > < s t r i n g > C o m p u t e r   N e t w o r k < / s t r i n g > < / k e y > < v a l u e > < i n t > 8 < / i n t > < / v a l u e > < / i t e m > < i t e m > < k e y > < s t r i n g > C o m p u t e r   N e t w o r k   C r e d i t < / s t r i n g > < / k e y > < v a l u e > < i n t > 9 < / i n t > < / v a l u e > < / i t e m > < i t e m > < k e y > < s t r i n g > C o m p u t e r   N e t w o r k   ( T o t a l   G r a d e   +   C r e d i t ) < / s t r i n g > < / k e y > < v a l u e > < i n t > 1 0 < / i n t > < / v a l u e > < / i t e m > < i t e m > < k e y > < s t r i n g > D a t a   S t r u c t u r e   L a b < / s t r i n g > < / k e y > < v a l u e > < i n t > 1 1 < / i n t > < / v a l u e > < / i t e m > < i t e m > < k e y > < s t r i n g > D a t a   S t r u c t u r e   L a b   C r e d i t < / s t r i n g > < / k e y > < v a l u e > < i n t > 1 2 < / i n t > < / v a l u e > < / i t e m > < i t e m > < k e y > < s t r i n g > D a t a   S t r u c t u r e   L a b   ( T o t a l   G r a d e   +   C r e d i t ) < / s t r i n g > < / k e y > < v a l u e > < i n t > 1 3 < / i n t > < / v a l u e > < / i t e m > < i t e m > < k e y > < s t r i n g > C o m p u t e r   N e t w o r k   L a b < / s t r i n g > < / k e y > < v a l u e > < i n t > 1 4 < / i n t > < / v a l u e > < / i t e m > < i t e m > < k e y > < s t r i n g > C o m p u t e r   N e t w o r k   L a b   C r e d i t < / s t r i n g > < / k e y > < v a l u e > < i n t > 1 5 < / i n t > < / v a l u e > < / i t e m > < i t e m > < k e y > < s t r i n g > C o m p u t e r   N e t w o r k   L a b   ( T o t a l   G r a d e   +   C r e d i t ) < / s t r i n g > < / k e y > < v a l u e > < i n t > 1 6 < / i n t > < / v a l u e > < / i t e m > < i t e m > < k e y > < s t r i n g > D i s c r e t e   M a t h e m a t i c s < / s t r i n g > < / k e y > < v a l u e > < i n t > 1 7 < / i n t > < / v a l u e > < / i t e m > < i t e m > < k e y > < s t r i n g > D i s c r e t e   M a t h e m a t i c s   C r e d i t < / s t r i n g > < / k e y > < v a l u e > < i n t > 1 8 < / i n t > < / v a l u e > < / i t e m > < i t e m > < k e y > < s t r i n g > D i s c r e t e   M a t h e m a t i c s   ( T o t a l   G r a d e   +   C r e d i t ) < / s t r i n g > < / k e y > < v a l u e > < i n t > 1 9 < / i n t > < / v a l u e > < / i t e m > < i t e m > < k e y > < s t r i n g > T o t a l   S u b j e c t   C r e d i t < / s t r i n g > < / k e y > < v a l u e > < i n t > 2 0 < / i n t > < / v a l u e > < / i t e m > < i t e m > < k e y > < s t r i n g > 3 r d   S e m e s t e r   ( S G P A ) < / s t r i n g > < / k e y > < v a l u e > < i n t > 2 1 < / i n t > < / v a l u e > < / i t e m > < / C o l u m n D i s p l a y I n d e x > < C o l u m n F r o z e n   / > < C o l u m n C h e c k e d   / > < C o l u m n F i l t e r   / > < S e l e c t i o n F i l t e r   / > < F i l t e r P a r a m e t e r s   / > < I s S o r t D e s c e n d i n g > f a l s e < / I s S o r t D e s c e n d i n g > < / T a b l e W i d g e t G r i d S e r i a l i z a t i o n > ] ] > < / C u s t o m C o n t e n t > < / G e m i n i > 
</file>

<file path=customXml/item24.xml>��< ? x m l   v e r s i o n = " 1 . 0 "   e n c o d i n g = " U T F - 1 6 " ? > < G e m i n i   x m l n s = " h t t p : / / g e m i n i / p i v o t c u s t o m i z a t i o n / S h o w H i d d e n " > < C u s t o m C o n t e n t > < ! [ C D A T A [ T r u e ] ] > < / C u s t o m C o n t e n t > < / G e m i n i > 
</file>

<file path=customXml/item25.xml>��< ? x m l   v e r s i o n = " 1 . 0 "   e n c o d i n g = " U T F - 1 6 " ? > < G e m i n i   x m l n s = " h t t p : / / g e m i n i / p i v o t c u s t o m i z a t i o n / T a b l e X M L _ F i r s t _ S e m e s t e r _ M a t h e m a t i c s " > < 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 A s s i g n m e n t < / s t r i n g > < / k e y > < v a l u e > < i n t > 1 0 9 < / i n t > < / v a l u e > < / i t e m > < i t e m > < k e y > < s t r i n g > P r e s e n t a t i o n < / s t r i n g > < / k e y > < v a l u e > < i n t > 1 1 5 < / i n t > < / v a l u e > < / i t e m > < i t e m > < k e y > < s t r i n g > A t t e n d a n c e < / s t r i n g > < / k e y > < v a l u e > < i n t > 1 0 8 < / i n t > < / v a l u e > < / i t e m > < i t e m > < k e y > < s t r i n g > T o t a l   o u t   o f   A P A < / s t r i n g > < / k e y > < v a l u e > < i n t > 1 3 4 < / i n t > < / v a l u e > < / i t e m > < i t e m > < k e y > < s t r i n g > R o u n d   o f   A P A < / s t r i n g > < / k e y > < v a l u e > < i n t > 1 2 0 < / i n t > < / v a l u e > < / i t e m > < i t e m > < k e y > < s t r i n g > M i d t e r m < / s t r i n g > < / k e y > < v a l u e > < i n t > 9 0 < / i n t > < / v a l u e > < / i t e m > < i t e m > < k e y > < s t r i n g > F i n a l < / s t r i n g > < / k e y > < v a l u e > < i n t > 6 6 < / i n t > < / v a l u e > < / i t e m > < i t e m > < k e y > < s t r i n g > M i d   & a m p ;   F i n a l < / s t r i n g > < / k e y > < v a l u e > < i n t > 1 0 6 < / i n t > < / v a l u e > < / i t e m > < i t e m > < k e y > < s t r i n g > R o u n d   o f   M   & a m p ;   F < / s t r i n g > < / k e y > < v a l u e > < i n t > 1 3 0 < / 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 A s s i g n m e n t < / s t r i n g > < / k e y > < v a l u e > < i n t > 7 < / i n t > < / v a l u e > < / i t e m > < i t e m > < k e y > < s t r i n g > P r e s e n t a t i o n < / s t r i n g > < / k e y > < v a l u e > < i n t > 8 < / i n t > < / v a l u e > < / i t e m > < i t e m > < k e y > < s t r i n g > A t t e n d a n c e < / s t r i n g > < / k e y > < v a l u e > < i n t > 9 < / i n t > < / v a l u e > < / i t e m > < i t e m > < k e y > < s t r i n g > T o t a l   o u t   o f   A P A < / s t r i n g > < / k e y > < v a l u e > < i n t > 1 0 < / i n t > < / v a l u e > < / i t e m > < i t e m > < k e y > < s t r i n g > R o u n d   o f   A P A < / s t r i n g > < / k e y > < v a l u e > < i n t > 1 1 < / i n t > < / v a l u e > < / i t e m > < i t e m > < k e y > < s t r i n g > M i d t e r m < / s t r i n g > < / k e y > < v a l u e > < i n t > 1 2 < / i n t > < / v a l u e > < / i t e m > < i t e m > < k e y > < s t r i n g > F i n a l < / s t r i n g > < / k e y > < v a l u e > < i n t > 1 3 < / i n t > < / v a l u e > < / i t e m > < i t e m > < k e y > < s t r i n g > M i d   & a m p ;   F i n a l < / s t r i n g > < / k e y > < v a l u e > < i n t > 1 4 < / i n t > < / v a l u e > < / i t e m > < i t e m > < k e y > < s t r i n g > R o u n d   o f   M   & a m p ;   F < / s t r i n g > < / k e y > < v a l u e > < i n t > 1 5 < / i n t > < / v a l u e > < / i t e m > < i t e m > < k e y > < s t r i n g > T o t a l < / s t r i n g > < / k e y > < v a l u e > < i n t > 1 6 < / i n t > < / v a l u e > < / i t e m > < i t e m > < k e y > < s t r i n g > G r a d e   S c a l e < / s t r i n g > < / k e y > < v a l u e > < i n t > 1 7 < / i n t > < / v a l u e > < / i t e m > < i t e m > < k e y > < s t r i n g > G r a d e   P o i n t < / s t r i n g > < / k e y > < v a l u e > < i n t > 1 8 < / i n t > < / v a l u e > < / i t e m > < i t e m > < k e y > < s t r i n g > R e m a r k s < / s t r i n g > < / k e y > < v a l u e > < i n t > 1 9 < / 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T h i r d _ S e m e s t e r _ C o m p u t e r _ N e t w o r k _ L a b " > < 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 L a b   P e r f o m a n c e < / s t r i n g > < / k e y > < v a l u e > < i n t > 1 3 5 < / i n t > < / v a l u e > < / i t e m > < i t e m > < k e y > < s t r i n g > A t t e n d a n c e < / s t r i n g > < / k e y > < v a l u e > < i n t > 1 0 8 < / i n t > < / v a l u e > < / i t e m > < i t e m > < k e y > < s t r i n g > A s s i g n m e n t < / s t r i n g > < / k e y > < v a l u e > < i n t > 1 0 9 < / i n t > < / v a l u e > < / i t e m > < i t e m > < k e y > < s t r i n g > F i n a l < / s t r i n g > < / k e y > < v a l u e > < i n t > 6 6 < / i n t > < / v a l u e > < / i t e m > < i t e m > < k e y > < s t r i n g > A s s   & a m p ;   F i n a l < / s t r i n g > < / k e y > < v a l u e > < i n t > 1 0 3 < / i n t > < / v a l u e > < / i t e m > < i t e m > < k e y > < s t r i n g > R o u n d   o f   A   & a m p ;   F < / s t r i n g > < / k e y > < v a l u e > < i n t > 1 2 7 < / 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 L a b   P e r f o m a n c e < / s t r i n g > < / k e y > < v a l u e > < i n t > 2 < / i n t > < / v a l u e > < / i t e m > < i t e m > < k e y > < s t r i n g > A t t e n d a n c e < / s t r i n g > < / k e y > < v a l u e > < i n t > 3 < / i n t > < / v a l u e > < / i t e m > < i t e m > < k e y > < s t r i n g > A s s i g n m e n t < / s t r i n g > < / k e y > < v a l u e > < i n t > 4 < / i n t > < / v a l u e > < / i t e m > < i t e m > < k e y > < s t r i n g > F i n a l < / s t r i n g > < / k e y > < v a l u e > < i n t > 5 < / i n t > < / v a l u e > < / i t e m > < i t e m > < k e y > < s t r i n g > A s s   & a m p ;   F i n a l < / s t r i n g > < / k e y > < v a l u e > < i n t > 6 < / i n t > < / v a l u e > < / i t e m > < i t e m > < k e y > < s t r i n g > R o u n d   o f   A   & a m p ;   F < / s t r i n g > < / k e y > < v a l u e > < i n t > 7 < / i n t > < / v a l u e > < / i t e m > < i t e m > < k e y > < s t r i n g > T o t a l < / s t r i n g > < / k e y > < v a l u e > < i n t > 8 < / i n t > < / v a l u e > < / i t e m > < i t e m > < k e y > < s t r i n g > G r a d e   S c a l e < / s t r i n g > < / k e y > < v a l u e > < i n t > 9 < / i n t > < / v a l u e > < / i t e m > < i t e m > < k e y > < s t r i n g > G r a d e   P o i n t < / s t r i n g > < / k e y > < v a l u e > < i n t > 1 0 < / i n t > < / v a l u e > < / i t e m > < i t e m > < k e y > < s t r i n g > R e m a r k s < / s t r i n g > < / k e y > < v a l u e > < i n t > 1 1 < / 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T a b l e X M L _ S e c o n d _ S e m e s t e r _ S t r u c t u r e d _ P r o g r a m m i n g _ L a b " > < 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 L a b   P e r f o m a n c e < / s t r i n g > < / k e y > < v a l u e > < i n t > 1 3 5 < / i n t > < / v a l u e > < / i t e m > < i t e m > < k e y > < s t r i n g > A t t e n d a n c e < / s t r i n g > < / k e y > < v a l u e > < i n t > 1 0 8 < / i n t > < / v a l u e > < / i t e m > < i t e m > < k e y > < s t r i n g > A s s i g n m e n t < / s t r i n g > < / k e y > < v a l u e > < i n t > 1 0 9 < / i n t > < / v a l u e > < / i t e m > < i t e m > < k e y > < s t r i n g > F i n a l < / s t r i n g > < / k e y > < v a l u e > < i n t > 6 6 < / i n t > < / v a l u e > < / i t e m > < i t e m > < k e y > < s t r i n g > A s s   & a m p ;   F i n a l < / s t r i n g > < / k e y > < v a l u e > < i n t > 1 0 3 < / i n t > < / v a l u e > < / i t e m > < i t e m > < k e y > < s t r i n g > R o u n d   o f   A   & a m p ;   F < / s t r i n g > < / k e y > < v a l u e > < i n t > 1 2 7 < / 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 L a b   P e r f o m a n c e < / s t r i n g > < / k e y > < v a l u e > < i n t > 2 < / i n t > < / v a l u e > < / i t e m > < i t e m > < k e y > < s t r i n g > A t t e n d a n c e < / s t r i n g > < / k e y > < v a l u e > < i n t > 3 < / i n t > < / v a l u e > < / i t e m > < i t e m > < k e y > < s t r i n g > A s s i g n m e n t < / s t r i n g > < / k e y > < v a l u e > < i n t > 4 < / i n t > < / v a l u e > < / i t e m > < i t e m > < k e y > < s t r i n g > F i n a l < / s t r i n g > < / k e y > < v a l u e > < i n t > 5 < / i n t > < / v a l u e > < / i t e m > < i t e m > < k e y > < s t r i n g > A s s   & a m p ;   F i n a l < / s t r i n g > < / k e y > < v a l u e > < i n t > 6 < / i n t > < / v a l u e > < / i t e m > < i t e m > < k e y > < s t r i n g > R o u n d   o f   A   & a m p ;   F < / s t r i n g > < / k e y > < v a l u e > < i n t > 7 < / i n t > < / v a l u e > < / i t e m > < i t e m > < k e y > < s t r i n g > T o t a l < / s t r i n g > < / k e y > < v a l u e > < i n t > 8 < / i n t > < / v a l u e > < / i t e m > < i t e m > < k e y > < s t r i n g > G r a d e   S c a l e < / s t r i n g > < / k e y > < v a l u e > < i n t > 9 < / i n t > < / v a l u e > < / i t e m > < i t e m > < k e y > < s t r i n g > G r a d e   P o i n t < / s t r i n g > < / k e y > < v a l u e > < i n t > 1 0 < / i n t > < / v a l u e > < / i t e m > < i t e m > < k e y > < s t r i n g > R e m a r k s < / s t r i n g > < / k e y > < v a l u e > < i n t > 1 1 < / i n t > < / v a l u e > < / i t e m > < / C o l u m n D i s p l a y I n d e x > < C o l u m n F r o z e n   / > < C o l u m n C h e c k e d   / > < C o l u m n F i l t e r   / > < S e l e c t i o n F i l t e r   / > < F i l t e r P a r a m e t e r s   / > < I s S o r t D e s c e n d i n g > f a l s e < / I s S o r t D e s c e n d i n g > < / T a b l e W i d g e t G r i d S e r i a l i z a t i o n > ] ] > < / C u s t o m C o n t e n t > < / G e m i n i > 
</file>

<file path=customXml/item28.xml>��< ? x m l   v e r s i o n = " 1 . 0 "   e n c o d i n g = " U T F - 1 6 " ? > < G e m i n i   x m l n s = " h t t p : / / g e m i n i / p i v o t c u s t o m i z a t i o n / C l i e n t W i n d o w X M L " > < C u s t o m C o n t e n t > < ! [ C D A T A [ T h i r d _ S e m e s t e r _ D i s c r e t e _ M a t h e m a t i c s ] ] > < / C u s t o m C o n t e n t > < / G e m i n i > 
</file>

<file path=customXml/item29.xml>��< ? x m l   v e r s i o n = " 1 . 0 "   e n c o d i n g = " U T F - 1 6 " ? > < G e m i n i   x m l n s = " h t t p : / / g e m i n i / p i v o t c u s t o m i z a t i o n / T a b l e X M L _ F i r s t _ S e m e s t e r _ I n f o r m a t i o n _ S y s t e m s _ E n g i n e e r i n g " > < 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 A t t e n d a n c e < / s t r i n g > < / k e y > < v a l u e > < i n t > 1 0 8 < / i n t > < / v a l u e > < / i t e m > < i t e m > < k e y > < s t r i n g > A s s i g n m e n t < / s t r i n g > < / k e y > < v a l u e > < i n t > 1 0 9 < / i n t > < / v a l u e > < / i t e m > < i t e m > < k e y > < s t r i n g > F i n a l < / s t r i n g > < / k e y > < v a l u e > < i n t > 6 6 < / i n t > < / v a l u e > < / i t e m > < i t e m > < k e y > < s t r i n g > A s s   & a m p ;   F i n a l < / s t r i n g > < / k e y > < v a l u e > < i n t > 1 0 3 < / i n t > < / v a l u e > < / i t e m > < i t e m > < k e y > < s t r i n g > R o u n d   o f   A   & a m p ;   F < / s t r i n g > < / k e y > < v a l u e > < i n t > 1 2 7 < / 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 A t t e n d a n c e < / s t r i n g > < / k e y > < v a l u e > < i n t > 7 < / i n t > < / v a l u e > < / i t e m > < i t e m > < k e y > < s t r i n g > A s s i g n m e n t < / s t r i n g > < / k e y > < v a l u e > < i n t > 8 < / i n t > < / v a l u e > < / i t e m > < i t e m > < k e y > < s t r i n g > F i n a l < / s t r i n g > < / k e y > < v a l u e > < i n t > 9 < / i n t > < / v a l u e > < / i t e m > < i t e m > < k e y > < s t r i n g > A s s   & a m p ;   F i n a l < / s t r i n g > < / k e y > < v a l u e > < i n t > 1 0 < / i n t > < / v a l u e > < / i t e m > < i t e m > < k e y > < s t r i n g > R o u n d   o f   A   & a m p ;   F < / s t r i n g > < / k e y > < v a l u e > < i n t > 1 1 < / i n t > < / v a l u e > < / i t e m > < i t e m > < k e y > < s t r i n g > T o t a l < / s t r i n g > < / k e y > < v a l u e > < i n t > 1 2 < / i n t > < / v a l u e > < / i t e m > < i t e m > < k e y > < s t r i n g > G r a d e   S c a l e < / s t r i n g > < / k e y > < v a l u e > < i n t > 1 3 < / i n t > < / v a l u e > < / i t e m > < i t e m > < k e y > < s t r i n g > G r a d e   P o i n t < / s t r i n g > < / k e y > < v a l u e > < i n t > 1 4 < / i n t > < / v a l u e > < / i t e m > < i t e m > < k e y > < s t r i n g > R e m a r k s < / s t r i n g > < / k e y > < v a l u e > < i n t > 1 5 < / 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T a b l e X M L _ S e c o n d _ S e m e s t e r _ E n g l i s h _ I I " > < 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 A s s i g n m e n t < / s t r i n g > < / k e y > < v a l u e > < i n t > 1 0 9 < / i n t > < / v a l u e > < / i t e m > < i t e m > < k e y > < s t r i n g > P r e s e n t a t i o n < / s t r i n g > < / k e y > < v a l u e > < i n t > 1 1 5 < / i n t > < / v a l u e > < / i t e m > < i t e m > < k e y > < s t r i n g > A t t e n d a n c e < / s t r i n g > < / k e y > < v a l u e > < i n t > 1 0 8 < / i n t > < / v a l u e > < / i t e m > < i t e m > < k e y > < s t r i n g > T o t a l   o u t   o f   A P A < / s t r i n g > < / k e y > < v a l u e > < i n t > 1 3 4 < / i n t > < / v a l u e > < / i t e m > < i t e m > < k e y > < s t r i n g > R o u n d   o f   A P A < / s t r i n g > < / k e y > < v a l u e > < i n t > 1 2 0 < / i n t > < / v a l u e > < / i t e m > < i t e m > < k e y > < s t r i n g > M i d t e r m < / s t r i n g > < / k e y > < v a l u e > < i n t > 9 0 < / i n t > < / v a l u e > < / i t e m > < i t e m > < k e y > < s t r i n g > F i n a l < / s t r i n g > < / k e y > < v a l u e > < i n t > 6 6 < / i n t > < / v a l u e > < / i t e m > < i t e m > < k e y > < s t r i n g > M i d   & a m p ;   F i n a l < / s t r i n g > < / k e y > < v a l u e > < i n t > 1 0 6 < / i n t > < / v a l u e > < / i t e m > < i t e m > < k e y > < s t r i n g > R o u n d   o f   M   & a m p ;   F < / s t r i n g > < / k e y > < v a l u e > < i n t > 1 3 0 < / 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 A s s i g n m e n t < / s t r i n g > < / k e y > < v a l u e > < i n t > 7 < / i n t > < / v a l u e > < / i t e m > < i t e m > < k e y > < s t r i n g > P r e s e n t a t i o n < / s t r i n g > < / k e y > < v a l u e > < i n t > 8 < / i n t > < / v a l u e > < / i t e m > < i t e m > < k e y > < s t r i n g > A t t e n d a n c e < / s t r i n g > < / k e y > < v a l u e > < i n t > 9 < / i n t > < / v a l u e > < / i t e m > < i t e m > < k e y > < s t r i n g > T o t a l   o u t   o f   A P A < / s t r i n g > < / k e y > < v a l u e > < i n t > 1 0 < / i n t > < / v a l u e > < / i t e m > < i t e m > < k e y > < s t r i n g > R o u n d   o f   A P A < / s t r i n g > < / k e y > < v a l u e > < i n t > 1 1 < / i n t > < / v a l u e > < / i t e m > < i t e m > < k e y > < s t r i n g > M i d t e r m < / s t r i n g > < / k e y > < v a l u e > < i n t > 1 2 < / i n t > < / v a l u e > < / i t e m > < i t e m > < k e y > < s t r i n g > F i n a l < / s t r i n g > < / k e y > < v a l u e > < i n t > 1 3 < / i n t > < / v a l u e > < / i t e m > < i t e m > < k e y > < s t r i n g > M i d   & a m p ;   F i n a l < / s t r i n g > < / k e y > < v a l u e > < i n t > 1 4 < / i n t > < / v a l u e > < / i t e m > < i t e m > < k e y > < s t r i n g > R o u n d   o f   M   & a m p ;   F < / s t r i n g > < / k e y > < v a l u e > < i n t > 1 5 < / i n t > < / v a l u e > < / i t e m > < i t e m > < k e y > < s t r i n g > T o t a l < / s t r i n g > < / k e y > < v a l u e > < i n t > 1 6 < / i n t > < / v a l u e > < / i t e m > < i t e m > < k e y > < s t r i n g > G r a d e   S c a l e < / s t r i n g > < / k e y > < v a l u e > < i n t > 1 7 < / i n t > < / v a l u e > < / i t e m > < i t e m > < k e y > < s t r i n g > G r a d e   P o i n t < / s t r i n g > < / k e y > < v a l u e > < i n t > 1 8 < / i n t > < / v a l u e > < / i t e m > < i t e m > < k e y > < s t r i n g > R e m a r k s < / s t r i n g > < / k e y > < v a l u e > < i n t > 1 9 < / i n t > < / v a l u e > < / i t e m > < / C o l u m n D i s p l a y I n d e x > < C o l u m n F r o z e n   / > < C o l u m n C h e c k e d   / > < C o l u m n F i l t e r   / > < S e l e c t i o n F i l t e r   / > < F i l t e r P a r a m e t e r s   / > < I s S o r t D e s c e n d i n g > f a l s e < / I s S o r t D e s c e n d i n g > < / T a b l e W i d g e t G r i d S e r i a l i z a t i o n > ] ] > < / C u s t o m C o n t e n t > < / G e m i n i > 
</file>

<file path=customXml/item30.xml>��< ? x m l   v e r s i o n = " 1 . 0 "   e n c o d i n g = " U T F - 1 6 " ? > < G e m i n i   x m l n s = " h t t p : / / g e m i n i / p i v o t c u s t o m i z a t i o n / T a b l e X M L _ T h i r d _ S e m e s t e r _ D a t a _ S t r u c t u r e " > < 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 A t t e n d a n c e < / s t r i n g > < / k e y > < v a l u e > < i n t > 1 0 8 < / i n t > < / v a l u e > < / i t e m > < i t e m > < k e y > < s t r i n g > A s s i g n m e n t < / s t r i n g > < / k e y > < v a l u e > < i n t > 1 0 9 < / i n t > < / v a l u e > < / i t e m > < i t e m > < k e y > < s t r i n g > F i n a l < / s t r i n g > < / k e y > < v a l u e > < i n t > 6 6 < / i n t > < / v a l u e > < / i t e m > < i t e m > < k e y > < s t r i n g > A s s   & a m p ;   F i n a l < / s t r i n g > < / k e y > < v a l u e > < i n t > 1 0 3 < / i n t > < / v a l u e > < / i t e m > < i t e m > < k e y > < s t r i n g > R o u n d   o f   A   & a m p ;   F < / s t r i n g > < / k e y > < v a l u e > < i n t > 1 2 7 < / 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 A t t e n d a n c e < / s t r i n g > < / k e y > < v a l u e > < i n t > 7 < / i n t > < / v a l u e > < / i t e m > < i t e m > < k e y > < s t r i n g > A s s i g n m e n t < / s t r i n g > < / k e y > < v a l u e > < i n t > 8 < / i n t > < / v a l u e > < / i t e m > < i t e m > < k e y > < s t r i n g > F i n a l < / s t r i n g > < / k e y > < v a l u e > < i n t > 9 < / i n t > < / v a l u e > < / i t e m > < i t e m > < k e y > < s t r i n g > A s s   & a m p ;   F i n a l < / s t r i n g > < / k e y > < v a l u e > < i n t > 1 0 < / i n t > < / v a l u e > < / i t e m > < i t e m > < k e y > < s t r i n g > R o u n d   o f   A   & a m p ;   F < / s t r i n g > < / k e y > < v a l u e > < i n t > 1 1 < / i n t > < / v a l u e > < / i t e m > < i t e m > < k e y > < s t r i n g > T o t a l < / s t r i n g > < / k e y > < v a l u e > < i n t > 1 2 < / i n t > < / v a l u e > < / i t e m > < i t e m > < k e y > < s t r i n g > G r a d e   S c a l e < / s t r i n g > < / k e y > < v a l u e > < i n t > 1 3 < / i n t > < / v a l u e > < / i t e m > < i t e m > < k e y > < s t r i n g > G r a d e   P o i n t < / s t r i n g > < / k e y > < v a l u e > < i n t > 1 4 < / i n t > < / v a l u e > < / i t e m > < i t e m > < k e y > < s t r i n g > R e m a r k s < / s t r i n g > < / k e y > < v a l u e > < i n t > 1 5 < / i n t > < / v a l u e > < / i t e m > < / C o l u m n D i s p l a y I n d e x > < C o l u m n F r o z e n   / > < C o l u m n C h e c k e d   / > < C o l u m n F i l t e r   / > < S e l e c t i o n F i l t e r   / > < F i l t e r P a r a m e t e r s   / > < I s S o r t D e s c e n d i n g > f a l s e < / I s S o r t D e s c e n d i n g > < / T a b l e W i d g e t G r i d S e r i a l i z a t i o n > ] ] > < / C u s t o m C o n t e n t > < / G e m i n i > 
</file>

<file path=customXml/item31.xml>��< ? x m l   v e r s i o n = " 1 . 0 "   e n c o d i n g = " U T F - 1 6 " ? > < G e m i n i   x m l n s = " h t t p : / / g e m i n i / p i v o t c u s t o m i z a t i o n / T a b l e X M L _ S t u d e n t _ I n f o r m a t i o n " > < 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 D e p a r t m e n t < / s t r i n g > < / k e y > < v a l u e > < i n t > 1 1 1 < / i n t > < / v a l u e > < / i t e m > < i t e m > < k e y > < s t r i n g > F a c u l t y < / s t r i n g > < / k e y > < v a l u e > < i n t > 8 0 < / i n t > < / v a l u e > < / i t e m > < i t e m > < k e y > < s t r i n g > C o n t a c t   N u m b e r < / s t r i n g > < / k e y > < v a l u e > < i n t > 1 3 7 < / i n t > < / v a l u e > < / i t e m > < i t e m > < k e y > < s t r i n g > E m a i l   A d d r e s s < / s t r i n g > < / k e y > < v a l u e > < i n t > 1 2 3 < / i n t > < / v a l u e > < / i t e m > < i t e m > < k e y > < s t r i n g > D a t e   o f   B i r t h < / s t r i n g > < / k e y > < v a l u e > < i n t > 1 1 4 < / i n t > < / v a l u e > < / i t e m > < / C o l u m n W i d t h s > < C o l u m n D i s p l a y I n d e x > < i t e m > < k e y > < s t r i n g > R o l l   N o < / s t r i n g > < / k e y > < v a l u e > < i n t > 0 < / i n t > < / v a l u e > < / i t e m > < i t e m > < k e y > < s t r i n g > N a m e   o f   S t u d e n t < / s t r i n g > < / k e y > < v a l u e > < i n t > 1 < / i n t > < / v a l u e > < / i t e m > < i t e m > < k e y > < s t r i n g > D e p a r t m e n t < / s t r i n g > < / k e y > < v a l u e > < i n t > 2 < / i n t > < / v a l u e > < / i t e m > < i t e m > < k e y > < s t r i n g > F a c u l t y < / s t r i n g > < / k e y > < v a l u e > < i n t > 3 < / i n t > < / v a l u e > < / i t e m > < i t e m > < k e y > < s t r i n g > C o n t a c t   N u m b e r < / s t r i n g > < / k e y > < v a l u e > < i n t > 4 < / i n t > < / v a l u e > < / i t e m > < i t e m > < k e y > < s t r i n g > E m a i l   A d d r e s s < / s t r i n g > < / k e y > < v a l u e > < i n t > 5 < / i n t > < / v a l u e > < / i t e m > < i t e m > < k e y > < s t r i n g > D a t e   o f   B i r t h < / s t r i n g > < / k e y > < v a l u e > < i n t > 6 < / i n t > < / v a l u e > < / i t e m > < / C o l u m n D i s p l a y I n d e x > < C o l u m n F r o z e n   / > < C o l u m n C h e c k e d   / > < C o l u m n F i l t e r   / > < S e l e c t i o n F i l t e r   / > < F i l t e r P a r a m e t e r s   / > < I s S o r t D e s c e n d i n g > f a l s e < / I s S o r t D e s c e n d i n g > < / T a b l e W i d g e t G r i d S e r i a l i z a t i o n > ] ] > < / C u s t o m C o n t e n t > < / G e m i n i > 
</file>

<file path=customXml/item32.xml>��< ? x m l   v e r s i o n = " 1 . 0 "   e n c o d i n g = " U T F - 1 6 " ? > < G e m i n i   x m l n s = " h t t p : / / g e m i n i / p i v o t c u s t o m i z a t i o n / T a b l e X M L _ I n t r o d u c t i o n " > < C u s t o m C o n t e n t > < ! [ C D A T A [ < T a b l e W i d g e t G r i d S e r i a l i z a t i o n   x m l n s : x s d = " h t t p : / / w w w . w 3 . o r g / 2 0 0 1 / X M L S c h e m a "   x m l n s : x s i = " h t t p : / / w w w . w 3 . o r g / 2 0 0 1 / X M L S c h e m a - i n s t a n c e " > < C o l u m n S u g g e s t e d T y p e   / > < C o l u m n F o r m a t   / > < C o l u m n A c c u r a c y   / > < C o l u m n C u r r e n c y S y m b o l   / > < C o l u m n P o s i t i v e P a t t e r n   / > < C o l u m n N e g a t i v e P a t t e r n   / > < C o l u m n W i d t h s > < i t e m > < k e y > < s t r i n g > C o l u m n 1 < / s t r i n g > < / k e y > < v a l u e > < i n t > 9 1 < / i n t > < / v a l u e > < / i t e m > < / C o l u m n W i d t h s > < C o l u m n D i s p l a y I n d e x > < i t e m > < k e y > < s t r i n g > C o l u m n 1 < / s t r i n g > < / k e y > < v a l u e > < i n t > 0 < / i n t > < / v a l u e > < / i t e m > < / C o l u m n D i s p l a y I n d e x > < C o l u m n F r o z e n   / > < C o l u m n C h e c k e d   / > < C o l u m n F i l t e r   / > < S e l e c t i o n F i l t e r   / > < F i l t e r P a r a m e t e r s   / > < I s S o r t D e s c e n d i n g > f a l s e < / I s S o r t D e s c e n d i n g > < / T a b l e W i d g e t G r i d S e r i a l i z a t i o n > ] ] > < / C u s t o m C o n t e n t > < / G e m i n i > 
</file>

<file path=customXml/item33.xml>��< ? x m l   v e r s i o n = " 1 . 0 "   e n c o d i n g = " U T F - 1 6 " ? > < G e m i n i   x m l n s = " h t t p : / / g e m i n i / p i v o t c u s t o m i z a t i o n / R e l a t i o n s h i p A u t o D e t e c t i o n E n a b l e d " > < C u s t o m C o n t e n t > < ! [ C D A T A [ T r u e ] ] > < / C u s t o m C o n t e n t > < / G e m i n i > 
</file>

<file path=customXml/item34.xml>��< ? x m l   v e r s i o n = " 1 . 0 "   e n c o d i n g = " U T F - 1 6 " ? > < G e m i n i   x m l n s = " h t t p : / / g e m i n i / p i v o t c u s t o m i z a t i o n / P o w e r P i v o t V e r s i o n " > < C u s t o m C o n t e n t > < ! [ C D A T A [ 2 0 1 5 . 1 3 0 . 1 6 0 5 . 6 0 2 ] ] > < / C u s t o m C o n t e n t > < / G e m i n i > 
</file>

<file path=customXml/item35.xml>��< ? x m l   v e r s i o n = " 1 . 0 "   e n c o d i n g = " U T F - 1 6 " ? > < G e m i n i   x m l n s = " h t t p : / / g e m i n i / p i v o t c u s t o m i z a t i o n / T a b l e X M L _ S e c o n d _ S e m e s t e r _ F u n d a m e n t a l _ W e b s i t e _ D e v e l o p m e n t _ L a b " > < 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 L a b   P e r f o m a n c e < / s t r i n g > < / k e y > < v a l u e > < i n t > 1 3 5 < / i n t > < / v a l u e > < / i t e m > < i t e m > < k e y > < s t r i n g > A t t e n d a n c e < / s t r i n g > < / k e y > < v a l u e > < i n t > 1 0 8 < / i n t > < / v a l u e > < / i t e m > < i t e m > < k e y > < s t r i n g > A s s i g n m e n t < / s t r i n g > < / k e y > < v a l u e > < i n t > 1 0 9 < / i n t > < / v a l u e > < / i t e m > < i t e m > < k e y > < s t r i n g > F i n a l < / s t r i n g > < / k e y > < v a l u e > < i n t > 6 6 < / i n t > < / v a l u e > < / i t e m > < i t e m > < k e y > < s t r i n g > A s s   & a m p ;   F i n a l < / s t r i n g > < / k e y > < v a l u e > < i n t > 1 0 3 < / i n t > < / v a l u e > < / i t e m > < i t e m > < k e y > < s t r i n g > R o u n d   o f   A   & a m p ;   F < / s t r i n g > < / k e y > < v a l u e > < i n t > 1 2 7 < / 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 L a b   P e r f o m a n c e < / s t r i n g > < / k e y > < v a l u e > < i n t > 2 < / i n t > < / v a l u e > < / i t e m > < i t e m > < k e y > < s t r i n g > A t t e n d a n c e < / s t r i n g > < / k e y > < v a l u e > < i n t > 3 < / i n t > < / v a l u e > < / i t e m > < i t e m > < k e y > < s t r i n g > A s s i g n m e n t < / s t r i n g > < / k e y > < v a l u e > < i n t > 4 < / i n t > < / v a l u e > < / i t e m > < i t e m > < k e y > < s t r i n g > F i n a l < / s t r i n g > < / k e y > < v a l u e > < i n t > 5 < / i n t > < / v a l u e > < / i t e m > < i t e m > < k e y > < s t r i n g > A s s   & a m p ;   F i n a l < / s t r i n g > < / k e y > < v a l u e > < i n t > 6 < / i n t > < / v a l u e > < / i t e m > < i t e m > < k e y > < s t r i n g > R o u n d   o f   A   & a m p ;   F < / s t r i n g > < / k e y > < v a l u e > < i n t > 7 < / i n t > < / v a l u e > < / i t e m > < i t e m > < k e y > < s t r i n g > T o t a l < / s t r i n g > < / k e y > < v a l u e > < i n t > 8 < / i n t > < / v a l u e > < / i t e m > < i t e m > < k e y > < s t r i n g > G r a d e   S c a l e < / s t r i n g > < / k e y > < v a l u e > < i n t > 9 < / i n t > < / v a l u e > < / i t e m > < i t e m > < k e y > < s t r i n g > G r a d e   P o i n t < / s t r i n g > < / k e y > < v a l u e > < i n t > 1 0 < / i n t > < / v a l u e > < / i t e m > < i t e m > < k e y > < s t r i n g > R e m a r k s < / s t r i n g > < / k e y > < v a l u e > < i n t > 1 1 < / i n t > < / v a l u e > < / i t e m > < / C o l u m n D i s p l a y I n d e x > < C o l u m n F r o z e n   / > < C o l u m n C h e c k e d   / > < C o l u m n F i l t e r   / > < S e l e c t i o n F i l t e r   / > < F i l t e r P a r a m e t e r s   / > < I s S o r t D e s c e n d i n g > f a l s e < / I s S o r t D e s c e n d i n g > < / T a b l e W i d g e t G r i d S e r i a l i z a t i o n > ] ] > < / C u s t o m C o n t e n t > < / G e m i n i > 
</file>

<file path=customXml/item36.xml>��< ? x m l   v e r s i o n = " 1 . 0 "   e n c o d i n g = " U T F - 1 6 " ? > < G e m i n i   x m l n s = " h t t p : / / g e m i n i / p i v o t c u s t o m i z a t i o n / T a b l e X M L _ F i r s t _ S e m e s t e r _ C o m p u t e r _ F u n d a m e n t a l s " > < 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 A s s i g n m e n t < / s t r i n g > < / k e y > < v a l u e > < i n t > 1 0 9 < / i n t > < / v a l u e > < / i t e m > < i t e m > < k e y > < s t r i n g > P r e s e n t a t i o n < / s t r i n g > < / k e y > < v a l u e > < i n t > 1 1 5 < / i n t > < / v a l u e > < / i t e m > < i t e m > < k e y > < s t r i n g > A t t e n d a n c e < / s t r i n g > < / k e y > < v a l u e > < i n t > 1 0 8 < / i n t > < / v a l u e > < / i t e m > < i t e m > < k e y > < s t r i n g > T o t a l   o u t   o f   A P A < / s t r i n g > < / k e y > < v a l u e > < i n t > 1 3 4 < / i n t > < / v a l u e > < / i t e m > < i t e m > < k e y > < s t r i n g > R o u n d   o f   A P A < / s t r i n g > < / k e y > < v a l u e > < i n t > 1 2 0 < / i n t > < / v a l u e > < / i t e m > < i t e m > < k e y > < s t r i n g > M i d t e r m < / s t r i n g > < / k e y > < v a l u e > < i n t > 9 0 < / i n t > < / v a l u e > < / i t e m > < i t e m > < k e y > < s t r i n g > F i n a l < / s t r i n g > < / k e y > < v a l u e > < i n t > 6 6 < / i n t > < / v a l u e > < / i t e m > < i t e m > < k e y > < s t r i n g > M i d   & a m p ;   F i n a l < / s t r i n g > < / k e y > < v a l u e > < i n t > 1 0 6 < / i n t > < / v a l u e > < / i t e m > < i t e m > < k e y > < s t r i n g > R o u n d   o f   M   & a m p ;   F < / s t r i n g > < / k e y > < v a l u e > < i n t > 1 3 0 < / 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 A s s i g n m e n t < / s t r i n g > < / k e y > < v a l u e > < i n t > 7 < / i n t > < / v a l u e > < / i t e m > < i t e m > < k e y > < s t r i n g > P r e s e n t a t i o n < / s t r i n g > < / k e y > < v a l u e > < i n t > 8 < / i n t > < / v a l u e > < / i t e m > < i t e m > < k e y > < s t r i n g > A t t e n d a n c e < / s t r i n g > < / k e y > < v a l u e > < i n t > 9 < / i n t > < / v a l u e > < / i t e m > < i t e m > < k e y > < s t r i n g > T o t a l   o u t   o f   A P A < / s t r i n g > < / k e y > < v a l u e > < i n t > 1 0 < / i n t > < / v a l u e > < / i t e m > < i t e m > < k e y > < s t r i n g > R o u n d   o f   A P A < / s t r i n g > < / k e y > < v a l u e > < i n t > 1 1 < / i n t > < / v a l u e > < / i t e m > < i t e m > < k e y > < s t r i n g > M i d t e r m < / s t r i n g > < / k e y > < v a l u e > < i n t > 1 2 < / i n t > < / v a l u e > < / i t e m > < i t e m > < k e y > < s t r i n g > F i n a l < / s t r i n g > < / k e y > < v a l u e > < i n t > 1 3 < / i n t > < / v a l u e > < / i t e m > < i t e m > < k e y > < s t r i n g > M i d   & a m p ;   F i n a l < / s t r i n g > < / k e y > < v a l u e > < i n t > 1 4 < / i n t > < / v a l u e > < / i t e m > < i t e m > < k e y > < s t r i n g > R o u n d   o f   M   & a m p ;   F < / s t r i n g > < / k e y > < v a l u e > < i n t > 1 5 < / i n t > < / v a l u e > < / i t e m > < i t e m > < k e y > < s t r i n g > T o t a l < / s t r i n g > < / k e y > < v a l u e > < i n t > 1 6 < / i n t > < / v a l u e > < / i t e m > < i t e m > < k e y > < s t r i n g > G r a d e   S c a l e < / s t r i n g > < / k e y > < v a l u e > < i n t > 1 7 < / i n t > < / v a l u e > < / i t e m > < i t e m > < k e y > < s t r i n g > G r a d e   P o i n t < / s t r i n g > < / k e y > < v a l u e > < i n t > 1 8 < / i n t > < / v a l u e > < / i t e m > < i t e m > < k e y > < s t r i n g > R e m a r k s < / s t r i n g > < / k e y > < v a l u e > < i n t > 1 9 < / i n t > < / v a l u e > < / i t e m > < / C o l u m n D i s p l a y I n d e x > < C o l u m n F r o z e n   / > < C o l u m n C h e c k e d   / > < C o l u m n F i l t e r   / > < S e l e c t i o n F i l t e r   / > < F i l t e r P a r a m e t e r s   / > < I s S o r t D e s c e n d i n g > f a l s e < / I s S o r t D e s c e n d i n g > < / T a b l e W i d g e t G r i d S e r i a l i z a t i o n > ] ] > < / C u s t o m C o n t e n t > < / G e m i n i > 
</file>

<file path=customXml/item37.xml>��< ? x m l   v e r s i o n = " 1 . 0 "   e n c o d i n g = " U T F - 1 6 " ? > < G e m i n i   x m l n s = " h t t p : / / g e m i n i / p i v o t c u s t o m i z a t i o n / T a b l e X M L _ F i r s t _ S e m e s t e r _ C G P A " > < 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 E n g l i s h   L a n g u a g e   -   I < / s t r i n g > < / k e y > < v a l u e > < i n t > 1 5 6 < / i n t > < / v a l u e > < / i t e m > < i t e m > < k e y > < s t r i n g > E n g l i s h   L a n g u a g e   -   I   C r e d i t < / s t r i n g > < / k e y > < v a l u e > < i n t > 1 9 7 < / i n t > < / v a l u e > < / i t e m > < i t e m > < k e y > < s t r i n g > E n g l i s h   L a n g u a g e   -   I   ( T o t a l   G r a d e   +   C r e d i t ) < / s t r i n g > < / k e y > < v a l u e > < i n t > 2 9 0 < / i n t > < / v a l u e > < / i t e m > < i t e m > < k e y > < s t r i n g > M a t h e m a t i c s   -   I < / s t r i n g > < / k e y > < v a l u e > < i n t > 1 3 0 < / i n t > < / v a l u e > < / i t e m > < i t e m > < k e y > < s t r i n g > M a t h e m a t i c s   -   I   C r e d i t < / s t r i n g > < / k e y > < v a l u e > < i n t > 1 7 1 < / i n t > < / v a l u e > < / i t e m > < i t e m > < k e y > < s t r i n g > M a t h e m a t i c s   -   I   ( T o t a l   G r a d e   +   C r e d i t ) < / s t r i n g > < / k e y > < v a l u e > < i n t > 2 6 4 < / i n t > < / v a l u e > < / i t e m > < i t e m > < k e y > < s t r i n g > C o m p u t e r   F u n d a m e n t a l s < / s t r i n g > < / k e y > < v a l u e > < i n t > 1 8 9 < / i n t > < / v a l u e > < / i t e m > < i t e m > < k e y > < s t r i n g > C o m p u t e r   F u n d a m e n t a l s   C r e d i t < / s t r i n g > < / k e y > < v a l u e > < i n t > 2 3 0 < / i n t > < / v a l u e > < / i t e m > < i t e m > < k e y > < s t r i n g > C o m p u t e r   F u n d a m e n t a l s   ( T o t a l   G r a d e   +   C r e d i t ) < / s t r i n g > < / k e y > < v a l u e > < i n t > 3 2 3 < / i n t > < / v a l u e > < / i t e m > < i t e m > < k e y > < s t r i n g > I n f o r m a t i o n   S y s t e m s   E n g i n e e r i n g < / s t r i n g > < / k e y > < v a l u e > < i n t > 2 4 0 < / i n t > < / v a l u e > < / i t e m > < i t e m > < k e y > < s t r i n g > I n f o r m a t i o n   S y s t e m s   E n g i n e e r i n g   C r e d i t < / s t r i n g > < / k e y > < v a l u e > < i n t > 2 8 1 < / i n t > < / v a l u e > < / i t e m > < i t e m > < k e y > < s t r i n g > I n f o r m a t i o n   S y s t e m s   E n g i n e e r i n g   ( T o t a l   G r a d e   +   C r e d i t ) < / s t r i n g > < / k e y > < v a l u e > < i n t > 3 7 4 < / i n t > < / v a l u e > < / i t e m > < i t e m > < k e y > < s t r i n g > T o t a l   S u b j e c t   C r e d i t < / s t r i n g > < / k e y > < v a l u e > < i n t > 1 5 6 < / i n t > < / v a l u e > < / i t e m > < i t e m > < k e y > < s t r i n g > 1 s t   S e m e s t e r   C G P A < / s t r i n g > < / k e y > < v a l u e > < i n t > 1 5 2 < / i n t > < / v a l u e > < / i t e m > < i t e m > < k e y > < s t r i n g > R e m a r k s < / s t r i n g > < / k e y > < v a l u e > < i n t > 8 9 < / i n t > < / v a l u e > < / i t e m > < / C o l u m n W i d t h s > < C o l u m n D i s p l a y I n d e x > < i t e m > < k e y > < s t r i n g > R o l l   N o < / s t r i n g > < / k e y > < v a l u e > < i n t > 0 < / i n t > < / v a l u e > < / i t e m > < i t e m > < k e y > < s t r i n g > N a m e   o f   S t u d e n t < / s t r i n g > < / k e y > < v a l u e > < i n t > 1 < / i n t > < / v a l u e > < / i t e m > < i t e m > < k e y > < s t r i n g > E n g l i s h   L a n g u a g e   -   I < / s t r i n g > < / k e y > < v a l u e > < i n t > 2 < / i n t > < / v a l u e > < / i t e m > < i t e m > < k e y > < s t r i n g > E n g l i s h   L a n g u a g e   -   I   C r e d i t < / s t r i n g > < / k e y > < v a l u e > < i n t > 3 < / i n t > < / v a l u e > < / i t e m > < i t e m > < k e y > < s t r i n g > E n g l i s h   L a n g u a g e   -   I   ( T o t a l   G r a d e   +   C r e d i t ) < / s t r i n g > < / k e y > < v a l u e > < i n t > 4 < / i n t > < / v a l u e > < / i t e m > < i t e m > < k e y > < s t r i n g > M a t h e m a t i c s   -   I < / s t r i n g > < / k e y > < v a l u e > < i n t > 5 < / i n t > < / v a l u e > < / i t e m > < i t e m > < k e y > < s t r i n g > M a t h e m a t i c s   -   I   C r e d i t < / s t r i n g > < / k e y > < v a l u e > < i n t > 6 < / i n t > < / v a l u e > < / i t e m > < i t e m > < k e y > < s t r i n g > M a t h e m a t i c s   -   I   ( T o t a l   G r a d e   +   C r e d i t ) < / s t r i n g > < / k e y > < v a l u e > < i n t > 7 < / i n t > < / v a l u e > < / i t e m > < i t e m > < k e y > < s t r i n g > C o m p u t e r   F u n d a m e n t a l s < / s t r i n g > < / k e y > < v a l u e > < i n t > 8 < / i n t > < / v a l u e > < / i t e m > < i t e m > < k e y > < s t r i n g > C o m p u t e r   F u n d a m e n t a l s   C r e d i t < / s t r i n g > < / k e y > < v a l u e > < i n t > 9 < / i n t > < / v a l u e > < / i t e m > < i t e m > < k e y > < s t r i n g > C o m p u t e r   F u n d a m e n t a l s   ( T o t a l   G r a d e   +   C r e d i t ) < / s t r i n g > < / k e y > < v a l u e > < i n t > 1 0 < / i n t > < / v a l u e > < / i t e m > < i t e m > < k e y > < s t r i n g > I n f o r m a t i o n   S y s t e m s   E n g i n e e r i n g < / s t r i n g > < / k e y > < v a l u e > < i n t > 1 1 < / i n t > < / v a l u e > < / i t e m > < i t e m > < k e y > < s t r i n g > I n f o r m a t i o n   S y s t e m s   E n g i n e e r i n g   C r e d i t < / s t r i n g > < / k e y > < v a l u e > < i n t > 1 2 < / i n t > < / v a l u e > < / i t e m > < i t e m > < k e y > < s t r i n g > I n f o r m a t i o n   S y s t e m s   E n g i n e e r i n g   ( T o t a l   G r a d e   +   C r e d i t ) < / s t r i n g > < / k e y > < v a l u e > < i n t > 1 3 < / i n t > < / v a l u e > < / i t e m > < i t e m > < k e y > < s t r i n g > T o t a l   S u b j e c t   C r e d i t < / s t r i n g > < / k e y > < v a l u e > < i n t > 1 4 < / i n t > < / v a l u e > < / i t e m > < i t e m > < k e y > < s t r i n g > 1 s t   S e m e s t e r   C G P A < / s t r i n g > < / k e y > < v a l u e > < i n t > 1 5 < / i n t > < / v a l u e > < / i t e m > < i t e m > < k e y > < s t r i n g > R e m a r k s < / s t r i n g > < / k e y > < v a l u e > < i n t > 1 6 < / i n t > < / v a l u e > < / i t e m > < / C o l u m n D i s p l a y I n d e x > < C o l u m n F r o z e n   / > < C o l u m n C h e c k e d   / > < C o l u m n F i l t e r   / > < S e l e c t i o n F i l t e r   / > < F i l t e r P a r a m e t e r s   / > < I s S o r t D e s c e n d i n g > f a l s e < / I s S o r t D e s c e n d i n g > < / T a b l e W i d g e t G r i d S e r i a l i z a t i o n > ] ] > < / C u s t o m C o n t e n t > < / G e m i n i > 
</file>

<file path=customXml/item38.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 E m p l o y e e _ C a l c u l a t e _ S a l a r y < / K e y > < V a l u e   x m l n s : a = " h t t p : / / s c h e m a s . d a t a c o n t r a c t . o r g / 2 0 0 4 / 0 7 / M i c r o s o f t . A n a l y s i s S e r v i c e s . C o m m o n " > < a : H a s F o c u s > t r u e < / a : H a s F o c u s > < a : S i z e A t D p i 9 6 > 1 1 3 < / a : S i z e A t D p i 9 6 > < a : V i s i b l e > t r u e < / a : V i s i b l e > < / V a l u e > < / K e y V a l u e O f s t r i n g S a n d b o x E d i t o r . M e a s u r e G r i d S t a t e S c d E 3 5 R y > < K e y V a l u e O f s t r i n g S a n d b o x E d i t o r . M e a s u r e G r i d S t a t e S c d E 3 5 R y > < K e y > E m p l o y e e _ I n f o r m a t i o n < / K e y > < V a l u e   x m l n s : a = " h t t p : / / s c h e m a s . d a t a c o n t r a c t . o r g / 2 0 0 4 / 0 7 / M i c r o s o f t . A n a l y s i s S e r v i c e s . C o m m o n " > < a : H a s F o c u s > t r u e < / a : H a s F o c u s > < a : S i z e A t D p i 9 6 > 1 1 3 < / a : S i z e A t D p i 9 6 > < a : V i s i b l e > t r u e < / a : V i s i b l e > < / V a l u e > < / K e y V a l u e O f s t r i n g S a n d b o x E d i t o r . M e a s u r e G r i d S t a t e S c d E 3 5 R y > < K e y V a l u e O f s t r i n g S a n d b o x E d i t o r . M e a s u r e G r i d S t a t e S c d E 3 5 R y > < K e y > C o v e r _ P a g e < / K e y > < V a l u e   x m l n s : a = " h t t p : / / s c h e m a s . d a t a c o n t r a c t . o r g / 2 0 0 4 / 0 7 / M i c r o s o f t . A n a l y s i s S e r v i c e s . C o m m o n " > < a : H a s F o c u s > t r u e < / a : H a s F o c u s > < a : S i z e A t D p i 9 6 > 1 1 3 < / a : S i z e A t D p i 9 6 > < a : V i s i b l e > t r u e < / a : V i s i b l e > < / V a l u e > < / K e y V a l u e O f s t r i n g S a n d b o x E d i t o r . M e a s u r e G r i d S t a t e S c d E 3 5 R y > < K e y V a l u e O f s t r i n g S a n d b o x E d i t o r . M e a s u r e G r i d S t a t e S c d E 3 5 R y > < K e y > I n t r o d u c t i o n < / K e y > < V a l u e   x m l n s : a = " h t t p : / / s c h e m a s . d a t a c o n t r a c t . o r g / 2 0 0 4 / 0 7 / M i c r o s o f t . A n a l y s i s S e r v i c e s . C o m m o n " > < a : H a s F o c u s > t r u e < / a : H a s F o c u s > < a : S i z e A t D p i 9 6 > 1 1 3 < / a : S i z e A t D p i 9 6 > < a : V i s i b l e > t r u e < / a : V i s i b l e > < / V a l u e > < / K e y V a l u e O f s t r i n g S a n d b o x E d i t o r . M e a s u r e G r i d S t a t e S c d E 3 5 R y > < K e y V a l u e O f s t r i n g S a n d b o x E d i t o r . M e a s u r e G r i d S t a t e S c d E 3 5 R y > < K e y > B a s i c _ K n o w l e d g e < / K e y > < V a l u e   x m l n s : a = " h t t p : / / s c h e m a s . d a t a c o n t r a c t . o r g / 2 0 0 4 / 0 7 / M i c r o s o f t . A n a l y s i s S e r v i c e s . C o m m o n " > < a : H a s F o c u s > t r u e < / a : H a s F o c u s > < a : S i z e A t D p i 9 6 > 1 1 3 < / a : S i z e A t D p i 9 6 > < a : V i s i b l e > t r u e < / a : V i s i b l e > < / V a l u e > < / K e y V a l u e O f s t r i n g S a n d b o x E d i t o r . M e a s u r e G r i d S t a t e S c d E 3 5 R y > < K e y V a l u e O f s t r i n g S a n d b o x E d i t o r . M e a s u r e G r i d S t a t e S c d E 3 5 R y > < K e y > S t u d e n t _ I n f o r m a t i o n < / K e y > < V a l u e   x m l n s : a = " h t t p : / / s c h e m a s . d a t a c o n t r a c t . o r g / 2 0 0 4 / 0 7 / M i c r o s o f t . A n a l y s i s S e r v i c e s . C o m m o n " > < a : H a s F o c u s > t r u e < / a : H a s F o c u s > < a : S i z e A t D p i 9 6 > 1 1 3 < / a : S i z e A t D p i 9 6 > < a : V i s i b l e > t r u e < / a : V i s i b l e > < / V a l u e > < / K e y V a l u e O f s t r i n g S a n d b o x E d i t o r . M e a s u r e G r i d S t a t e S c d E 3 5 R y > < K e y V a l u e O f s t r i n g S a n d b o x E d i t o r . M e a s u r e G r i d S t a t e S c d E 3 5 R y > < K e y > F i r s t _ S e m e s t e r _ C G P A < / K e y > < V a l u e   x m l n s : a = " h t t p : / / s c h e m a s . d a t a c o n t r a c t . o r g / 2 0 0 4 / 0 7 / M i c r o s o f t . A n a l y s i s S e r v i c e s . C o m m o n " > < a : H a s F o c u s > t r u e < / a : H a s F o c u s > < a : S i z e A t D p i 9 6 > 1 1 3 < / a : S i z e A t D p i 9 6 > < a : V i s i b l e > t r u e < / a : V i s i b l e > < / V a l u e > < / K e y V a l u e O f s t r i n g S a n d b o x E d i t o r . M e a s u r e G r i d S t a t e S c d E 3 5 R y > < K e y V a l u e O f s t r i n g S a n d b o x E d i t o r . M e a s u r e G r i d S t a t e S c d E 3 5 R y > < K e y > F i r s t _ S e m e s t e r _ E n g l i s h _ I < / K e y > < V a l u e   x m l n s : a = " h t t p : / / s c h e m a s . d a t a c o n t r a c t . o r g / 2 0 0 4 / 0 7 / M i c r o s o f t . A n a l y s i s S e r v i c e s . C o m m o n " > < a : H a s F o c u s > t r u e < / a : H a s F o c u s > < a : S i z e A t D p i 9 6 > 1 1 3 < / a : S i z e A t D p i 9 6 > < a : V i s i b l e > t r u e < / a : V i s i b l e > < / V a l u e > < / K e y V a l u e O f s t r i n g S a n d b o x E d i t o r . M e a s u r e G r i d S t a t e S c d E 3 5 R y > < K e y V a l u e O f s t r i n g S a n d b o x E d i t o r . M e a s u r e G r i d S t a t e S c d E 3 5 R y > < K e y > F i r s t _ S e m e s t e r _ M a t h e m a t i c s < / K e y > < V a l u e   x m l n s : a = " h t t p : / / s c h e m a s . d a t a c o n t r a c t . o r g / 2 0 0 4 / 0 7 / M i c r o s o f t . A n a l y s i s S e r v i c e s . C o m m o n " > < a : H a s F o c u s > t r u e < / a : H a s F o c u s > < a : S i z e A t D p i 9 6 > 1 1 3 < / a : S i z e A t D p i 9 6 > < a : V i s i b l e > t r u e < / a : V i s i b l e > < / V a l u e > < / K e y V a l u e O f s t r i n g S a n d b o x E d i t o r . M e a s u r e G r i d S t a t e S c d E 3 5 R y > < K e y V a l u e O f s t r i n g S a n d b o x E d i t o r . M e a s u r e G r i d S t a t e S c d E 3 5 R y > < K e y > F i r s t _ S e m e s t e r _ C o m p u t e r _ F u n d a m e n t a l s < / K e y > < V a l u e   x m l n s : a = " h t t p : / / s c h e m a s . d a t a c o n t r a c t . o r g / 2 0 0 4 / 0 7 / M i c r o s o f t . A n a l y s i s S e r v i c e s . C o m m o n " > < a : H a s F o c u s > t r u e < / a : H a s F o c u s > < a : S i z e A t D p i 9 6 > 1 1 3 < / a : S i z e A t D p i 9 6 > < a : V i s i b l e > t r u e < / a : V i s i b l e > < / V a l u e > < / K e y V a l u e O f s t r i n g S a n d b o x E d i t o r . M e a s u r e G r i d S t a t e S c d E 3 5 R y > < K e y V a l u e O f s t r i n g S a n d b o x E d i t o r . M e a s u r e G r i d S t a t e S c d E 3 5 R y > < K e y > F i r s t _ S e m e s t e r _ I n f o r m a t i o n _ S y s t e m s _ E n g i n e e r i n g < / K e y > < V a l u e   x m l n s : a = " h t t p : / / s c h e m a s . d a t a c o n t r a c t . o r g / 2 0 0 4 / 0 7 / M i c r o s o f t . A n a l y s i s S e r v i c e s . C o m m o n " > < a : H a s F o c u s > t r u e < / a : H a s F o c u s > < a : S i z e A t D p i 9 6 > 1 1 3 < / a : S i z e A t D p i 9 6 > < a : V i s i b l e > t r u e < / a : V i s i b l e > < / V a l u e > < / K e y V a l u e O f s t r i n g S a n d b o x E d i t o r . M e a s u r e G r i d S t a t e S c d E 3 5 R y > < K e y V a l u e O f s t r i n g S a n d b o x E d i t o r . M e a s u r e G r i d S t a t e S c d E 3 5 R y > < K e y > S e c o n d _ S e m e s t e r _ S G P A < / K e y > < V a l u e   x m l n s : a = " h t t p : / / s c h e m a s . d a t a c o n t r a c t . o r g / 2 0 0 4 / 0 7 / M i c r o s o f t . A n a l y s i s S e r v i c e s . C o m m o n " > < a : H a s F o c u s > t r u e < / a : H a s F o c u s > < a : S i z e A t D p i 9 6 > 1 1 3 < / a : S i z e A t D p i 9 6 > < a : V i s i b l e > t r u e < / a : V i s i b l e > < / V a l u e > < / K e y V a l u e O f s t r i n g S a n d b o x E d i t o r . M e a s u r e G r i d S t a t e S c d E 3 5 R y > < K e y V a l u e O f s t r i n g S a n d b o x E d i t o r . M e a s u r e G r i d S t a t e S c d E 3 5 R y > < K e y > S e c o n d _ S e m e s t e r _ E n g l i s h _ I I < / K e y > < V a l u e   x m l n s : a = " h t t p : / / s c h e m a s . d a t a c o n t r a c t . o r g / 2 0 0 4 / 0 7 / M i c r o s o f t . A n a l y s i s S e r v i c e s . C o m m o n " > < a : H a s F o c u s > t r u e < / a : H a s F o c u s > < a : S i z e A t D p i 9 6 > 1 1 3 < / a : S i z e A t D p i 9 6 > < a : V i s i b l e > t r u e < / a : V i s i b l e > < / V a l u e > < / K e y V a l u e O f s t r i n g S a n d b o x E d i t o r . M e a s u r e G r i d S t a t e S c d E 3 5 R y > < K e y V a l u e O f s t r i n g S a n d b o x E d i t o r . M e a s u r e G r i d S t a t e S c d E 3 5 R y > < K e y > S e c o n d _ S e m e s t e r _ S t r u c t u r e d _ P r o g r a m m i n g < / K e y > < V a l u e   x m l n s : a = " h t t p : / / s c h e m a s . d a t a c o n t r a c t . o r g / 2 0 0 4 / 0 7 / M i c r o s o f t . A n a l y s i s S e r v i c e s . C o m m o n " > < a : H a s F o c u s > t r u e < / a : H a s F o c u s > < a : S i z e A t D p i 9 6 > 1 1 3 < / a : S i z e A t D p i 9 6 > < a : V i s i b l e > t r u e < / a : V i s i b l e > < / V a l u e > < / K e y V a l u e O f s t r i n g S a n d b o x E d i t o r . M e a s u r e G r i d S t a t e S c d E 3 5 R y > < K e y V a l u e O f s t r i n g S a n d b o x E d i t o r . M e a s u r e G r i d S t a t e S c d E 3 5 R y > < K e y > S e c o n d _ S e m e s t e r _ F u n d a m e n t a l _ W e b s i t e _ D e v e l o p m e n t < / K e y > < V a l u e   x m l n s : a = " h t t p : / / s c h e m a s . d a t a c o n t r a c t . o r g / 2 0 0 4 / 0 7 / M i c r o s o f t . A n a l y s i s S e r v i c e s . C o m m o n " > < a : H a s F o c u s > t r u e < / a : H a s F o c u s > < a : S i z e A t D p i 9 6 > 1 1 3 < / a : S i z e A t D p i 9 6 > < a : V i s i b l e > t r u e < / a : V i s i b l e > < / V a l u e > < / K e y V a l u e O f s t r i n g S a n d b o x E d i t o r . M e a s u r e G r i d S t a t e S c d E 3 5 R y > < K e y V a l u e O f s t r i n g S a n d b o x E d i t o r . M e a s u r e G r i d S t a t e S c d E 3 5 R y > < K e y > S e c o n d _ S e m e s t e r _ S t r u c t u r e d _ P r o g r a m m i n g _ L a b < / K e y > < V a l u e   x m l n s : a = " h t t p : / / s c h e m a s . d a t a c o n t r a c t . o r g / 2 0 0 4 / 0 7 / M i c r o s o f t . A n a l y s i s S e r v i c e s . C o m m o n " > < a : H a s F o c u s > t r u e < / a : H a s F o c u s > < a : S i z e A t D p i 9 6 > 1 1 3 < / a : S i z e A t D p i 9 6 > < a : V i s i b l e > t r u e < / a : V i s i b l e > < / V a l u e > < / K e y V a l u e O f s t r i n g S a n d b o x E d i t o r . M e a s u r e G r i d S t a t e S c d E 3 5 R y > < K e y V a l u e O f s t r i n g S a n d b o x E d i t o r . M e a s u r e G r i d S t a t e S c d E 3 5 R y > < K e y > S e c o n d _ S e m e s t e r _ F u n d a m e n t a l _ W e b s i t e _ D e v e l o p m e n t _ L a b < / K e y > < V a l u e   x m l n s : a = " h t t p : / / s c h e m a s . d a t a c o n t r a c t . o r g / 2 0 0 4 / 0 7 / M i c r o s o f t . A n a l y s i s S e r v i c e s . C o m m o n " > < a : H a s F o c u s > t r u e < / a : H a s F o c u s > < a : S i z e A t D p i 9 6 > 1 1 3 < / a : S i z e A t D p i 9 6 > < a : V i s i b l e > t r u e < / a : V i s i b l e > < / V a l u e > < / K e y V a l u e O f s t r i n g S a n d b o x E d i t o r . M e a s u r e G r i d S t a t e S c d E 3 5 R y > < K e y V a l u e O f s t r i n g S a n d b o x E d i t o r . M e a s u r e G r i d S t a t e S c d E 3 5 R y > < K e y > T h i r d _ S e m e s t e r _ S G P A < / K e y > < V a l u e   x m l n s : a = " h t t p : / / s c h e m a s . d a t a c o n t r a c t . o r g / 2 0 0 4 / 0 7 / M i c r o s o f t . A n a l y s i s S e r v i c e s . C o m m o n " > < a : H a s F o c u s > t r u e < / a : H a s F o c u s > < a : S i z e A t D p i 9 6 > 1 1 3 < / a : S i z e A t D p i 9 6 > < a : V i s i b l e > t r u e < / a : V i s i b l e > < / V a l u e > < / K e y V a l u e O f s t r i n g S a n d b o x E d i t o r . M e a s u r e G r i d S t a t e S c d E 3 5 R y > < K e y V a l u e O f s t r i n g S a n d b o x E d i t o r . M e a s u r e G r i d S t a t e S c d E 3 5 R y > < K e y > T h i r d _ S e m e s t e r _ S t u d y _ a n d _ C o m m u n i c a t i o n _ S k i l l s < / K e y > < V a l u e   x m l n s : a = " h t t p : / / s c h e m a s . d a t a c o n t r a c t . o r g / 2 0 0 4 / 0 7 / M i c r o s o f t . A n a l y s i s S e r v i c e s . C o m m o n " > < a : H a s F o c u s > t r u e < / a : H a s F o c u s > < a : S i z e A t D p i 9 6 > 1 1 3 < / a : S i z e A t D p i 9 6 > < a : V i s i b l e > t r u e < / a : V i s i b l e > < / V a l u e > < / K e y V a l u e O f s t r i n g S a n d b o x E d i t o r . M e a s u r e G r i d S t a t e S c d E 3 5 R y > < K e y V a l u e O f s t r i n g S a n d b o x E d i t o r . M e a s u r e G r i d S t a t e S c d E 3 5 R y > < K e y > T h i r d _ S e m e s t e r _ D a t a _ S t r u c t u r e < / K e y > < V a l u e   x m l n s : a = " h t t p : / / s c h e m a s . d a t a c o n t r a c t . o r g / 2 0 0 4 / 0 7 / M i c r o s o f t . A n a l y s i s S e r v i c e s . C o m m o n " > < a : H a s F o c u s > t r u e < / a : H a s F o c u s > < a : S i z e A t D p i 9 6 > 1 1 3 < / a : S i z e A t D p i 9 6 > < a : V i s i b l e > t r u e < / a : V i s i b l e > < / V a l u e > < / K e y V a l u e O f s t r i n g S a n d b o x E d i t o r . M e a s u r e G r i d S t a t e S c d E 3 5 R y > < K e y V a l u e O f s t r i n g S a n d b o x E d i t o r . M e a s u r e G r i d S t a t e S c d E 3 5 R y > < K e y > T h i r d _ S e m e s t e r _ C o m p u t e r _ N e t w o r k < / K e y > < V a l u e   x m l n s : a = " h t t p : / / s c h e m a s . d a t a c o n t r a c t . o r g / 2 0 0 4 / 0 7 / M i c r o s o f t . A n a l y s i s S e r v i c e s . C o m m o n " > < a : H a s F o c u s > t r u e < / a : H a s F o c u s > < a : S i z e A t D p i 9 6 > 1 1 3 < / a : S i z e A t D p i 9 6 > < a : V i s i b l e > t r u e < / a : V i s i b l e > < / V a l u e > < / K e y V a l u e O f s t r i n g S a n d b o x E d i t o r . M e a s u r e G r i d S t a t e S c d E 3 5 R y > < K e y V a l u e O f s t r i n g S a n d b o x E d i t o r . M e a s u r e G r i d S t a t e S c d E 3 5 R y > < K e y > T h i r d _ S e m e s t e r _ D a t a _ S t r u c t u r e _ L a b < / K e y > < V a l u e   x m l n s : a = " h t t p : / / s c h e m a s . d a t a c o n t r a c t . o r g / 2 0 0 4 / 0 7 / M i c r o s o f t . A n a l y s i s S e r v i c e s . C o m m o n " > < a : H a s F o c u s > t r u e < / a : H a s F o c u s > < a : S i z e A t D p i 9 6 > 1 1 3 < / a : S i z e A t D p i 9 6 > < a : V i s i b l e > t r u e < / a : V i s i b l e > < / V a l u e > < / K e y V a l u e O f s t r i n g S a n d b o x E d i t o r . M e a s u r e G r i d S t a t e S c d E 3 5 R y > < K e y V a l u e O f s t r i n g S a n d b o x E d i t o r . M e a s u r e G r i d S t a t e S c d E 3 5 R y > < K e y > T h i r d _ S e m e s t e r _ C o m p u t e r _ N e t w o r k _ L a b < / K e y > < V a l u e   x m l n s : a = " h t t p : / / s c h e m a s . d a t a c o n t r a c t . o r g / 2 0 0 4 / 0 7 / M i c r o s o f t . A n a l y s i s S e r v i c e s . C o m m o n " > < a : H a s F o c u s > t r u e < / a : H a s F o c u s > < a : S i z e A t D p i 9 6 > 1 1 3 < / a : S i z e A t D p i 9 6 > < a : V i s i b l e > t r u e < / a : V i s i b l e > < / V a l u e > < / K e y V a l u e O f s t r i n g S a n d b o x E d i t o r . M e a s u r e G r i d S t a t e S c d E 3 5 R y > < K e y V a l u e O f s t r i n g S a n d b o x E d i t o r . M e a s u r e G r i d S t a t e S c d E 3 5 R y > < K e y > T h i r d _ S e m e s t e r _ D i s c r e t e _ M a t h e m a t i c s < / K e y > < V a l u e   x m l n s : a = " h t t p : / / s c h e m a s . d a t a c o n t r a c t . o r g / 2 0 0 4 / 0 7 / M i c r o s o f t . A n a l y s i s S e r v i c e s . C o m m o n " > < a : H a s F o c u s > t r u e < / a : H a s F o c u s > < a : S i z e A t D p i 9 6 > 1 1 3 < / a : S i z e A t D p i 9 6 > < a : V i s i b l e > t r u e < / a : V i s i b l e > < / V a l u e > < / K e y V a l u e O f s t r i n g S a n d b o x E d i t o r . M e a s u r e G r i d S t a t e S c d E 3 5 R y > < / A r r a y O f K e y V a l u e O f s t r i n g S a n d b o x E d i t o r . M e a s u r e G r i d S t a t e S c d E 3 5 R y > ] ] > < / C u s t o m C o n t e n t > < / G e m i n i > 
</file>

<file path=customXml/item39.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4.xml>��< ? x m l   v e r s i o n = " 1 . 0 "   e n c o d i n g = " U T F - 1 6 " ? > < G e m i n i   x m l n s = " h t t p : / / g e m i n i / p i v o t c u s t o m i z a t i o n / S h o w I m p l i c i t M e a s u r e s " > < C u s t o m C o n t e n t > < ! [ C D A T A [ F a l s e ] ] > < / C u s t o m C o n t e n t > < / G e m i n i > 
</file>

<file path=customXml/item4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 E m p l o y e e _ C a l c u l a t e _ S a l a r y 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 E m p l o y e e _ C a l c u l a t e _ S a l a r y 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  I D < / K e y > < / a : K e y > < a : V a l u e   i : t y p e = " T a b l e W i d g e t B a s e V i e w S t a t e " / > < / a : K e y V a l u e O f D i a g r a m O b j e c t K e y a n y T y p e z b w N T n L X > < a : K e y V a l u e O f D i a g r a m O b j e c t K e y a n y T y p e z b w N T n L X > < a : K e y > < K e y > C o l u m n s \ N a m e   o f   E m p l o y e e < / K e y > < / a : K e y > < a : V a l u e   i : t y p e = " T a b l e W i d g e t B a s e V i e w S t a t e " / > < / a : K e y V a l u e O f D i a g r a m O b j e c t K e y a n y T y p e z b w N T n L X > < a : K e y V a l u e O f D i a g r a m O b j e c t K e y a n y T y p e z b w N T n L X > < a : K e y > < K e y > C o l u m n s \ E m p l o y e e   S a l a r y < / K e y > < / a : K e y > < a : V a l u e   i : t y p e = " T a b l e W i d g e t B a s e V i e w S t a t e " / > < / a : K e y V a l u e O f D i a g r a m O b j e c t K e y a n y T y p e z b w N T n L X > < a : K e y V a l u e O f D i a g r a m O b j e c t K e y a n y T y p e z b w N T n L X > < a : K e y > < K e y > C o l u m n s \ H o u s e   R e n t < / K e y > < / a : K e y > < a : V a l u e   i : t y p e = " T a b l e W i d g e t B a s e V i e w S t a t e " / > < / a : K e y V a l u e O f D i a g r a m O b j e c t K e y a n y T y p e z b w N T n L X > < a : K e y V a l u e O f D i a g r a m O b j e c t K e y a n y T y p e z b w N T n L X > < a : K e y > < K e y > C o l u m n s \ E m p l o y e e   S a l a r y   -   H o u s e   R e n t < / K e y > < / a : K e y > < a : V a l u e   i : t y p e = " T a b l e W i d g e t B a s e V i e w S t a t e " / > < / a : K e y V a l u e O f D i a g r a m O b j e c t K e y a n y T y p e z b w N T n L X > < a : K e y V a l u e O f D i a g r a m O b j e c t K e y a n y T y p e z b w N T n L X > < a : K e y > < K e y > C o l u m n s \ S p e c i a l   A l l o w a n c e < / K e y > < / a : K e y > < a : V a l u e   i : t y p e = " T a b l e W i d g e t B a s e V i e w S t a t e " / > < / a : K e y V a l u e O f D i a g r a m O b j e c t K e y a n y T y p e z b w N T n L X > < a : K e y V a l u e O f D i a g r a m O b j e c t K e y a n y T y p e z b w N T n L X > < a : K e y > < K e y > C o l u m n s \ E m p l o y e e   S a l a r y   -   S p e c i a l   A l l o w a n c e < / K e y > < / a : K e y > < a : V a l u e   i : t y p e = " T a b l e W i d g e t B a s e V i e w S t a t e " / > < / a : K e y V a l u e O f D i a g r a m O b j e c t K e y a n y T y p e z b w N T n L X > < a : K e y V a l u e O f D i a g r a m O b j e c t K e y a n y T y p e z b w N T n L X > < a : K e y > < K e y > C o l u m n s \ H e a l t h   A s s u r a n c e < / K e y > < / a : K e y > < a : V a l u e   i : t y p e = " T a b l e W i d g e t B a s e V i e w S t a t e " / > < / a : K e y V a l u e O f D i a g r a m O b j e c t K e y a n y T y p e z b w N T n L X > < a : K e y V a l u e O f D i a g r a m O b j e c t K e y a n y T y p e z b w N T n L X > < a : K e y > < K e y > C o l u m n s \ E m p l o y e e   S a l a r y   -   H e a l t h   A s s u r a n c e < / K e y > < / a : K e y > < a : V a l u e   i : t y p e = " T a b l e W i d g e t B a s e V i e w S t a t e " / > < / a : K e y V a l u e O f D i a g r a m O b j e c t K e y a n y T y p e z b w N T n L X > < a : K e y V a l u e O f D i a g r a m O b j e c t K e y a n y T y p e z b w N T n L X > < a : K e y > < K e y > C o l u m n s \ P r o v i d e n t   F u n d < / K e y > < / a : K e y > < a : V a l u e   i : t y p e = " T a b l e W i d g e t B a s e V i e w S t a t e " / > < / a : K e y V a l u e O f D i a g r a m O b j e c t K e y a n y T y p e z b w N T n L X > < a : K e y V a l u e O f D i a g r a m O b j e c t K e y a n y T y p e z b w N T n L X > < a : K e y > < K e y > C o l u m n s \ E m p l o y e e   S a l a r y   -   P r o v i d e n t   F u n d < / K e y > < / a : K e y > < a : V a l u e   i : t y p e = " T a b l e W i d g e t B a s e V i e w S t a t e " / > < / a : K e y V a l u e O f D i a g r a m O b j e c t K e y a n y T y p e z b w N T n L X > < a : K e y V a l u e O f D i a g r a m O b j e c t K e y a n y T y p e z b w N T n L X > < a : K e y > < K e y > C o l u m n s \ I n c o m e   T a x < / K e y > < / a : K e y > < a : V a l u e   i : t y p e = " T a b l e W i d g e t B a s e V i e w S t a t e " / > < / a : K e y V a l u e O f D i a g r a m O b j e c t K e y a n y T y p e z b w N T n L X > < a : K e y V a l u e O f D i a g r a m O b j e c t K e y a n y T y p e z b w N T n L X > < a : K e y > < K e y > C o l u m n s \ E m p l o y e e   S a l a r y   -   I n c o m e   T a x < / 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 C o v e r _ P a g e 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 C o v e r _ P a g e 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 F i r s t _ S e m e s t e r _ E n g l i s h _ I 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 F i r s t _ S e m e s t e r _ E n g l i s h _ I 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 C o l u m n s \ P r e s e n t a t i o n < / 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 C o l u m n s \ T o t a l   o u t   o f   A P A < / K e y > < / a : K e y > < a : V a l u e   i : t y p e = " T a b l e W i d g e t B a s e V i e w S t a t e " / > < / a : K e y V a l u e O f D i a g r a m O b j e c t K e y a n y T y p e z b w N T n L X > < a : K e y V a l u e O f D i a g r a m O b j e c t K e y a n y T y p e z b w N T n L X > < a : K e y > < K e y > C o l u m n s \ R o u n d   o f   A P A < / K e y > < / a : K e y > < a : V a l u e   i : t y p e = " T a b l e W i d g e t B a s e V i e w S t a t e " / > < / a : K e y V a l u e O f D i a g r a m O b j e c t K e y a n y T y p e z b w N T n L X > < a : K e y V a l u e O f D i a g r a m O b j e c t K e y a n y T y p e z b w N T n L X > < a : K e y > < K e y > C o l u m n s \ M i d t e r m < / 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 C o l u m n s \ M i d   & a m p ;   F i n a l < / K e y > < / a : K e y > < a : V a l u e   i : t y p e = " T a b l e W i d g e t B a s e V i e w S t a t e " / > < / a : K e y V a l u e O f D i a g r a m O b j e c t K e y a n y T y p e z b w N T n L X > < a : K e y V a l u e O f D i a g r a m O b j e c t K e y a n y T y p e z b w N T n L X > < a : K e y > < K e y > C o l u m n s \ R o u n d   o f   M 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 E m p l o y e e _ I n f o r m a t i o n 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 E m p l o y e e _ I n f o r m a t i o n 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  I D < / K e y > < / a : K e y > < a : V a l u e   i : t y p e = " T a b l e W i d g e t B a s e V i e w S t a t e " / > < / a : K e y V a l u e O f D i a g r a m O b j e c t K e y a n y T y p e z b w N T n L X > < a : K e y V a l u e O f D i a g r a m O b j e c t K e y a n y T y p e z b w N T n L X > < a : K e y > < K e y > C o l u m n s \ N a m e   o f   E m p l o y e e < / 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 C o l u m n s \ B a n k < / K e y > < / a : K e y > < a : V a l u e   i : t y p e = " T a b l e W i d g e t B a s e V i e w S t a t e " / > < / a : K e y V a l u e O f D i a g r a m O b j e c t K e y a n y T y p e z b w N T n L X > < a : K e y V a l u e O f D i a g r a m O b j e c t K e y a n y T y p e z b w N T n L X > < a : K e y > < K e y > C o l u m n s \ C o n t a c t   N u m b e r < / K e y > < / a : K e y > < a : V a l u e   i : t y p e = " T a b l e W i d g e t B a s e V i e w S t a t e " / > < / a : K e y V a l u e O f D i a g r a m O b j e c t K e y a n y T y p e z b w N T n L X > < a : K e y V a l u e O f D i a g r a m O b j e c t K e y a n y T y p e z b w N T n L X > < a : K e y > < K e y > C o l u m n s \ E m a i l   A d d r e s s < / K e y > < / a : K e y > < a : V a l u e   i : t y p e = " T a b l e W i d g e t B a s e V i e w S t a t e " / > < / a : K e y V a l u e O f D i a g r a m O b j e c t K e y a n y T y p e z b w N T n L X > < a : K e y V a l u e O f D i a g r a m O b j e c t K e y a n y T y p e z b w N T n L X > < a : K e y > < K e y > C o l u m n s \ D a t e   o f   B i r t h 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 I n t r o d u c t i o n 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 I n t r o d u c t i o n 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 B a s i c _ K n o w l e d g e 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 B a s i c _ K n o w l e d g e 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 C o l u m n s \ C o l u m n 1 < / 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 F i r s t _ S e m e s t e r _ I n f o r m a t i o n _ S y s t e m s _ E n g i n e e r i n g 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 F i r s t _ S e m e s t e r _ I n f o r m a t i o n _ S y s t e m s _ E n g i n e e r i n g 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 C o l u m n s \ A s s   & a m p ;   F i n a l < / K e y > < / a : K e y > < a : V a l u e   i : t y p e = " T a b l e W i d g e t B a s e V i e w S t a t e " / > < / a : K e y V a l u e O f D i a g r a m O b j e c t K e y a n y T y p e z b w N T n L X > < a : K e y V a l u e O f D i a g r a m O b j e c t K e y a n y T y p e z b w N T n L X > < a : K e y > < K e y > C o l u m n s \ R o u n d   o f   A 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 S t u d e n t _ I n f o r m a t i o n < / 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 S t u d e n t _ I n f o r m a t i o n < / 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 C o l u m n s \ D e p a r t m e n t < / K e y > < / a : K e y > < a : V a l u e   i : t y p e = " T a b l e W i d g e t B a s e V i e w S t a t e " / > < / a : K e y V a l u e O f D i a g r a m O b j e c t K e y a n y T y p e z b w N T n L X > < a : K e y V a l u e O f D i a g r a m O b j e c t K e y a n y T y p e z b w N T n L X > < a : K e y > < K e y > C o l u m n s \ F a c u l t y < / K e y > < / a : K e y > < a : V a l u e   i : t y p e = " T a b l e W i d g e t B a s e V i e w S t a t e " / > < / a : K e y V a l u e O f D i a g r a m O b j e c t K e y a n y T y p e z b w N T n L X > < a : K e y V a l u e O f D i a g r a m O b j e c t K e y a n y T y p e z b w N T n L X > < a : K e y > < K e y > C o l u m n s \ C o n t a c t   N u m b e r < / K e y > < / a : K e y > < a : V a l u e   i : t y p e = " T a b l e W i d g e t B a s e V i e w S t a t e " / > < / a : K e y V a l u e O f D i a g r a m O b j e c t K e y a n y T y p e z b w N T n L X > < a : K e y V a l u e O f D i a g r a m O b j e c t K e y a n y T y p e z b w N T n L X > < a : K e y > < K e y > C o l u m n s \ E m a i l   A d d r e s s < / K e y > < / a : K e y > < a : V a l u e   i : t y p e = " T a b l e W i d g e t B a s e V i e w S t a t e " / > < / a : K e y V a l u e O f D i a g r a m O b j e c t K e y a n y T y p e z b w N T n L X > < a : K e y V a l u e O f D i a g r a m O b j e c t K e y a n y T y p e z b w N T n L X > < a : K e y > < K e y > C o l u m n s \ D a t e   o f   B i r t h < / 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 F i r s t _ S e m e s t e r _ C G P A 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 F i r s t _ S e m e s t e r _ C G P A 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 C o l u m n s \ E n g l i s h   L a n g u a g e   -   I < / K e y > < / a : K e y > < a : V a l u e   i : t y p e = " T a b l e W i d g e t B a s e V i e w S t a t e " / > < / a : K e y V a l u e O f D i a g r a m O b j e c t K e y a n y T y p e z b w N T n L X > < a : K e y V a l u e O f D i a g r a m O b j e c t K e y a n y T y p e z b w N T n L X > < a : K e y > < K e y > C o l u m n s \ E n g l i s h   L a n g u a g e   -   I   C r e d i t < / K e y > < / a : K e y > < a : V a l u e   i : t y p e = " T a b l e W i d g e t B a s e V i e w S t a t e " / > < / a : K e y V a l u e O f D i a g r a m O b j e c t K e y a n y T y p e z b w N T n L X > < a : K e y V a l u e O f D i a g r a m O b j e c t K e y a n y T y p e z b w N T n L X > < a : K e y > < K e y > C o l u m n s \ E n g l i s h   L a n g u a g e   -   I   ( T o t a l   G r a d e   +   C r e d i t ) < / K e y > < / a : K e y > < a : V a l u e   i : t y p e = " T a b l e W i d g e t B a s e V i e w S t a t e " / > < / a : K e y V a l u e O f D i a g r a m O b j e c t K e y a n y T y p e z b w N T n L X > < a : K e y V a l u e O f D i a g r a m O b j e c t K e y a n y T y p e z b w N T n L X > < a : K e y > < K e y > C o l u m n s \ M a t h e m a t i c s   -   I < / K e y > < / a : K e y > < a : V a l u e   i : t y p e = " T a b l e W i d g e t B a s e V i e w S t a t e " / > < / a : K e y V a l u e O f D i a g r a m O b j e c t K e y a n y T y p e z b w N T n L X > < a : K e y V a l u e O f D i a g r a m O b j e c t K e y a n y T y p e z b w N T n L X > < a : K e y > < K e y > C o l u m n s \ M a t h e m a t i c s   -   I   C r e d i t < / K e y > < / a : K e y > < a : V a l u e   i : t y p e = " T a b l e W i d g e t B a s e V i e w S t a t e " / > < / a : K e y V a l u e O f D i a g r a m O b j e c t K e y a n y T y p e z b w N T n L X > < a : K e y V a l u e O f D i a g r a m O b j e c t K e y a n y T y p e z b w N T n L X > < a : K e y > < K e y > C o l u m n s \ M a t h e m a t i c s   -   I   ( T o t a l   G r a d e   +   C r e d i t ) < / K e y > < / a : K e y > < a : V a l u e   i : t y p e = " T a b l e W i d g e t B a s e V i e w S t a t e " / > < / a : K e y V a l u e O f D i a g r a m O b j e c t K e y a n y T y p e z b w N T n L X > < a : K e y V a l u e O f D i a g r a m O b j e c t K e y a n y T y p e z b w N T n L X > < a : K e y > < K e y > C o l u m n s \ C o m p u t e r   F u n d a m e n t a l s < / K e y > < / a : K e y > < a : V a l u e   i : t y p e = " T a b l e W i d g e t B a s e V i e w S t a t e " / > < / a : K e y V a l u e O f D i a g r a m O b j e c t K e y a n y T y p e z b w N T n L X > < a : K e y V a l u e O f D i a g r a m O b j e c t K e y a n y T y p e z b w N T n L X > < a : K e y > < K e y > C o l u m n s \ C o m p u t e r   F u n d a m e n t a l s   C r e d i t < / K e y > < / a : K e y > < a : V a l u e   i : t y p e = " T a b l e W i d g e t B a s e V i e w S t a t e " / > < / a : K e y V a l u e O f D i a g r a m O b j e c t K e y a n y T y p e z b w N T n L X > < a : K e y V a l u e O f D i a g r a m O b j e c t K e y a n y T y p e z b w N T n L X > < a : K e y > < K e y > C o l u m n s \ C o m p u t e r   F u n d a m e n t a l s   ( T o t a l   G r a d e   +   C r e d i t ) < / K e y > < / a : K e y > < a : V a l u e   i : t y p e = " T a b l e W i d g e t B a s e V i e w S t a t e " / > < / a : K e y V a l u e O f D i a g r a m O b j e c t K e y a n y T y p e z b w N T n L X > < a : K e y V a l u e O f D i a g r a m O b j e c t K e y a n y T y p e z b w N T n L X > < a : K e y > < K e y > C o l u m n s \ I n f o r m a t i o n   S y s t e m s   E n g i n e e r i n g < / K e y > < / a : K e y > < a : V a l u e   i : t y p e = " T a b l e W i d g e t B a s e V i e w S t a t e " / > < / a : K e y V a l u e O f D i a g r a m O b j e c t K e y a n y T y p e z b w N T n L X > < a : K e y V a l u e O f D i a g r a m O b j e c t K e y a n y T y p e z b w N T n L X > < a : K e y > < K e y > C o l u m n s \ I n f o r m a t i o n   S y s t e m s   E n g i n e e r i n g   C r e d i t < / K e y > < / a : K e y > < a : V a l u e   i : t y p e = " T a b l e W i d g e t B a s e V i e w S t a t e " / > < / a : K e y V a l u e O f D i a g r a m O b j e c t K e y a n y T y p e z b w N T n L X > < a : K e y V a l u e O f D i a g r a m O b j e c t K e y a n y T y p e z b w N T n L X > < a : K e y > < K e y > C o l u m n s \ I n f o r m a t i o n   S y s t e m s   E n g i n e e r i n g   ( T o t a l   G r a d e   +   C r e d i t ) < / K e y > < / a : K e y > < a : V a l u e   i : t y p e = " T a b l e W i d g e t B a s e V i e w S t a t e " / > < / a : K e y V a l u e O f D i a g r a m O b j e c t K e y a n y T y p e z b w N T n L X > < a : K e y V a l u e O f D i a g r a m O b j e c t K e y a n y T y p e z b w N T n L X > < a : K e y > < K e y > C o l u m n s \ T o t a l   S u b j e c t   C r e d i t < / K e y > < / a : K e y > < a : V a l u e   i : t y p e = " T a b l e W i d g e t B a s e V i e w S t a t e " / > < / a : K e y V a l u e O f D i a g r a m O b j e c t K e y a n y T y p e z b w N T n L X > < a : K e y V a l u e O f D i a g r a m O b j e c t K e y a n y T y p e z b w N T n L X > < a : K e y > < K e y > C o l u m n s \ 1 s t   S e m e s t e r   C G P A < / 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 F i r s t _ S e m e s t e r _ M a t h e m a t i c s 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 F i r s t _ S e m e s t e r _ M a t h e m a t i c s 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 C o l u m n s \ P r e s e n t a t i o n < / 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 C o l u m n s \ T o t a l   o u t   o f   A P A < / K e y > < / a : K e y > < a : V a l u e   i : t y p e = " T a b l e W i d g e t B a s e V i e w S t a t e " / > < / a : K e y V a l u e O f D i a g r a m O b j e c t K e y a n y T y p e z b w N T n L X > < a : K e y V a l u e O f D i a g r a m O b j e c t K e y a n y T y p e z b w N T n L X > < a : K e y > < K e y > C o l u m n s \ R o u n d   o f   A P A < / K e y > < / a : K e y > < a : V a l u e   i : t y p e = " T a b l e W i d g e t B a s e V i e w S t a t e " / > < / a : K e y V a l u e O f D i a g r a m O b j e c t K e y a n y T y p e z b w N T n L X > < a : K e y V a l u e O f D i a g r a m O b j e c t K e y a n y T y p e z b w N T n L X > < a : K e y > < K e y > C o l u m n s \ M i d t e r m < / 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 C o l u m n s \ M i d   & a m p ;   F i n a l < / K e y > < / a : K e y > < a : V a l u e   i : t y p e = " T a b l e W i d g e t B a s e V i e w S t a t e " / > < / a : K e y V a l u e O f D i a g r a m O b j e c t K e y a n y T y p e z b w N T n L X > < a : K e y V a l u e O f D i a g r a m O b j e c t K e y a n y T y p e z b w N T n L X > < a : K e y > < K e y > C o l u m n s \ R o u n d   o f   M 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 F i r s t _ S e m e s t e r _ C o m p u t e r _ F u n d a m e n t a l s 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 F i r s t _ S e m e s t e r _ C o m p u t e r _ F u n d a m e n t a l s 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 C o l u m n s \ P r e s e n t a t i o n < / 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 C o l u m n s \ T o t a l   o u t   o f   A P A < / K e y > < / a : K e y > < a : V a l u e   i : t y p e = " T a b l e W i d g e t B a s e V i e w S t a t e " / > < / a : K e y V a l u e O f D i a g r a m O b j e c t K e y a n y T y p e z b w N T n L X > < a : K e y V a l u e O f D i a g r a m O b j e c t K e y a n y T y p e z b w N T n L X > < a : K e y > < K e y > C o l u m n s \ R o u n d   o f   A P A < / K e y > < / a : K e y > < a : V a l u e   i : t y p e = " T a b l e W i d g e t B a s e V i e w S t a t e " / > < / a : K e y V a l u e O f D i a g r a m O b j e c t K e y a n y T y p e z b w N T n L X > < a : K e y V a l u e O f D i a g r a m O b j e c t K e y a n y T y p e z b w N T n L X > < a : K e y > < K e y > C o l u m n s \ M i d t e r m < / 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 C o l u m n s \ M i d   & a m p ;   F i n a l < / K e y > < / a : K e y > < a : V a l u e   i : t y p e = " T a b l e W i d g e t B a s e V i e w S t a t e " / > < / a : K e y V a l u e O f D i a g r a m O b j e c t K e y a n y T y p e z b w N T n L X > < a : K e y V a l u e O f D i a g r a m O b j e c t K e y a n y T y p e z b w N T n L X > < a : K e y > < K e y > C o l u m n s \ R o u n d   o f   M 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 S e c o n d _ S e m e s t e r _ S G P A 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 S e c o n d _ S e m e s t e r _ S G P A 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 C o l u m n s \ E n g l i s h   L a n g u a g e   -   I I < / K e y > < / a : K e y > < a : V a l u e   i : t y p e = " T a b l e W i d g e t B a s e V i e w S t a t e " / > < / a : K e y V a l u e O f D i a g r a m O b j e c t K e y a n y T y p e z b w N T n L X > < a : K e y V a l u e O f D i a g r a m O b j e c t K e y a n y T y p e z b w N T n L X > < a : K e y > < K e y > C o l u m n s \ E n g l i s h   L a n g u a g e   -   I I   C r e d i t < / K e y > < / a : K e y > < a : V a l u e   i : t y p e = " T a b l e W i d g e t B a s e V i e w S t a t e " / > < / a : K e y V a l u e O f D i a g r a m O b j e c t K e y a n y T y p e z b w N T n L X > < a : K e y V a l u e O f D i a g r a m O b j e c t K e y a n y T y p e z b w N T n L X > < a : K e y > < K e y > C o l u m n s \ E n g l i s h   L a n g u a g e   -   I I   ( T o t a l   G r a d e   +   C r e d i t ) < / K e y > < / a : K e y > < a : V a l u e   i : t y p e = " T a b l e W i d g e t B a s e V i e w S t a t e " / > < / a : K e y V a l u e O f D i a g r a m O b j e c t K e y a n y T y p e z b w N T n L X > < a : K e y V a l u e O f D i a g r a m O b j e c t K e y a n y T y p e z b w N T n L X > < a : K e y > < K e y > C o l u m n s \ S t r u c t u r e d   P r o g r a m m i n g < / K e y > < / a : K e y > < a : V a l u e   i : t y p e = " T a b l e W i d g e t B a s e V i e w S t a t e " / > < / a : K e y V a l u e O f D i a g r a m O b j e c t K e y a n y T y p e z b w N T n L X > < a : K e y V a l u e O f D i a g r a m O b j e c t K e y a n y T y p e z b w N T n L X > < a : K e y > < K e y > C o l u m n s \ S t r u c t u r e d   P r o g r a m m i n g   C r e d i t < / K e y > < / a : K e y > < a : V a l u e   i : t y p e = " T a b l e W i d g e t B a s e V i e w S t a t e " / > < / a : K e y V a l u e O f D i a g r a m O b j e c t K e y a n y T y p e z b w N T n L X > < a : K e y V a l u e O f D i a g r a m O b j e c t K e y a n y T y p e z b w N T n L X > < a : K e y > < K e y > C o l u m n s \ S t r u c t u r e d   P r o g r a m m i n g   ( T o t a l   G r a d e   +   C r e d i t ) < / K e y > < / a : K e y > < a : V a l u e   i : t y p e = " T a b l e W i d g e t B a s e V i e w S t a t e " / > < / a : K e y V a l u e O f D i a g r a m O b j e c t K e y a n y T y p e z b w N T n L X > < a : K e y V a l u e O f D i a g r a m O b j e c t K e y a n y T y p e z b w N T n L X > < a : K e y > < K e y > C o l u m n s \ F u n d a m e n t a l   W e b s i t e   D e v e l o p m e n t < / K e y > < / a : K e y > < a : V a l u e   i : t y p e = " T a b l e W i d g e t B a s e V i e w S t a t e " / > < / a : K e y V a l u e O f D i a g r a m O b j e c t K e y a n y T y p e z b w N T n L X > < a : K e y V a l u e O f D i a g r a m O b j e c t K e y a n y T y p e z b w N T n L X > < a : K e y > < K e y > C o l u m n s \ F u n d a m e n t a l   W e b s i t e   D e v e l o p m e n t   C r e d i t < / K e y > < / a : K e y > < a : V a l u e   i : t y p e = " T a b l e W i d g e t B a s e V i e w S t a t e " / > < / a : K e y V a l u e O f D i a g r a m O b j e c t K e y a n y T y p e z b w N T n L X > < a : K e y V a l u e O f D i a g r a m O b j e c t K e y a n y T y p e z b w N T n L X > < a : K e y > < K e y > C o l u m n s \ F u n d a m e n t a l   W e b s i t e   D e v e l o p m e n t   ( T o t a l   G r a d e   +   C r e d i t ) < / K e y > < / a : K e y > < a : V a l u e   i : t y p e = " T a b l e W i d g e t B a s e V i e w S t a t e " / > < / a : K e y V a l u e O f D i a g r a m O b j e c t K e y a n y T y p e z b w N T n L X > < a : K e y V a l u e O f D i a g r a m O b j e c t K e y a n y T y p e z b w N T n L X > < a : K e y > < K e y > C o l u m n s \ S t r u c t u r e d   P r o g r a m m i n g   L a b < / K e y > < / a : K e y > < a : V a l u e   i : t y p e = " T a b l e W i d g e t B a s e V i e w S t a t e " / > < / a : K e y V a l u e O f D i a g r a m O b j e c t K e y a n y T y p e z b w N T n L X > < a : K e y V a l u e O f D i a g r a m O b j e c t K e y a n y T y p e z b w N T n L X > < a : K e y > < K e y > C o l u m n s \ S t r u c t u r e d   P r o g r a m m i n g   L a b   C r e d i t < / K e y > < / a : K e y > < a : V a l u e   i : t y p e = " T a b l e W i d g e t B a s e V i e w S t a t e " / > < / a : K e y V a l u e O f D i a g r a m O b j e c t K e y a n y T y p e z b w N T n L X > < a : K e y V a l u e O f D i a g r a m O b j e c t K e y a n y T y p e z b w N T n L X > < a : K e y > < K e y > C o l u m n s \ S t r u c t u r e d   P r o g r a m m i n g   L a b   ( T o t a l   G r a d e   +   C r e d i t ) < / K e y > < / a : K e y > < a : V a l u e   i : t y p e = " T a b l e W i d g e t B a s e V i e w S t a t e " / > < / a : K e y V a l u e O f D i a g r a m O b j e c t K e y a n y T y p e z b w N T n L X > < a : K e y V a l u e O f D i a g r a m O b j e c t K e y a n y T y p e z b w N T n L X > < a : K e y > < K e y > C o l u m n s \ F u n d a m e n t a l   W e b s i t e   D e v e l o p m e n t   L a b < / K e y > < / a : K e y > < a : V a l u e   i : t y p e = " T a b l e W i d g e t B a s e V i e w S t a t e " / > < / a : K e y V a l u e O f D i a g r a m O b j e c t K e y a n y T y p e z b w N T n L X > < a : K e y V a l u e O f D i a g r a m O b j e c t K e y a n y T y p e z b w N T n L X > < a : K e y > < K e y > C o l u m n s \ F u n d a m e n t a l   W e b s i t e   D e v e l o p m e n t   L a b   C r e d i t < / K e y > < / a : K e y > < a : V a l u e   i : t y p e = " T a b l e W i d g e t B a s e V i e w S t a t e " / > < / a : K e y V a l u e O f D i a g r a m O b j e c t K e y a n y T y p e z b w N T n L X > < a : K e y V a l u e O f D i a g r a m O b j e c t K e y a n y T y p e z b w N T n L X > < a : K e y > < K e y > C o l u m n s \ F u n d a m e n t a l   W e b s i t e   D e v e l o p m e n t   L a b   ( T o t a l   G r a d e   +   C r e d i t ) < / K e y > < / a : K e y > < a : V a l u e   i : t y p e = " T a b l e W i d g e t B a s e V i e w S t a t e " / > < / a : K e y V a l u e O f D i a g r a m O b j e c t K e y a n y T y p e z b w N T n L X > < a : K e y V a l u e O f D i a g r a m O b j e c t K e y a n y T y p e z b w N T n L X > < a : K e y > < K e y > C o l u m n s \ T o t a l   S u b j e c t   C r e d i t < / K e y > < / a : K e y > < a : V a l u e   i : t y p e = " T a b l e W i d g e t B a s e V i e w S t a t e " / > < / a : K e y V a l u e O f D i a g r a m O b j e c t K e y a n y T y p e z b w N T n L X > < a : K e y V a l u e O f D i a g r a m O b j e c t K e y a n y T y p e z b w N T n L X > < a : K e y > < K e y > C o l u m n s \ 2 n d   S e m e s t e r   ( S G P A ) 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 S e c o n d _ S e m e s t e r _ E n g l i s h _ I I < / 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 S e c o n d _ S e m e s t e r _ E n g l i s h _ I I < / 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 C o l u m n s \ P r e s e n t a t i o n < / 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 C o l u m n s \ T o t a l   o u t   o f   A P A < / K e y > < / a : K e y > < a : V a l u e   i : t y p e = " T a b l e W i d g e t B a s e V i e w S t a t e " / > < / a : K e y V a l u e O f D i a g r a m O b j e c t K e y a n y T y p e z b w N T n L X > < a : K e y V a l u e O f D i a g r a m O b j e c t K e y a n y T y p e z b w N T n L X > < a : K e y > < K e y > C o l u m n s \ R o u n d   o f   A P A < / K e y > < / a : K e y > < a : V a l u e   i : t y p e = " T a b l e W i d g e t B a s e V i e w S t a t e " / > < / a : K e y V a l u e O f D i a g r a m O b j e c t K e y a n y T y p e z b w N T n L X > < a : K e y V a l u e O f D i a g r a m O b j e c t K e y a n y T y p e z b w N T n L X > < a : K e y > < K e y > C o l u m n s \ M i d t e r m < / 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 C o l u m n s \ M i d   & a m p ;   F i n a l < / K e y > < / a : K e y > < a : V a l u e   i : t y p e = " T a b l e W i d g e t B a s e V i e w S t a t e " / > < / a : K e y V a l u e O f D i a g r a m O b j e c t K e y a n y T y p e z b w N T n L X > < a : K e y V a l u e O f D i a g r a m O b j e c t K e y a n y T y p e z b w N T n L X > < a : K e y > < K e y > C o l u m n s \ R o u n d   o f   M 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 S e c o n d _ S e m e s t e r _ S t r u c t u r e d _ P r o g r a m m i n g < / 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 S e c o n d _ S e m e s t e r _ S t r u c t u r e d _ P r o g r a m m i n g < / 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 C o l u m n s \ A s s   & a m p ;   F i n a l < / K e y > < / a : K e y > < a : V a l u e   i : t y p e = " T a b l e W i d g e t B a s e V i e w S t a t e " / > < / a : K e y V a l u e O f D i a g r a m O b j e c t K e y a n y T y p e z b w N T n L X > < a : K e y V a l u e O f D i a g r a m O b j e c t K e y a n y T y p e z b w N T n L X > < a : K e y > < K e y > C o l u m n s \ R o u n d   o f   A 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 S e c o n d _ S e m e s t e r _ F u n d a m e n t a l _ W e b s i t e _ D e v e l o p m e n t 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 S e c o n d _ S e m e s t e r _ F u n d a m e n t a l _ W e b s i t e _ D e v e l o p m e n t 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 C o l u m n s \ A s s   & a m p ;   F i n a l < / K e y > < / a : K e y > < a : V a l u e   i : t y p e = " T a b l e W i d g e t B a s e V i e w S t a t e " / > < / a : K e y V a l u e O f D i a g r a m O b j e c t K e y a n y T y p e z b w N T n L X > < a : K e y V a l u e O f D i a g r a m O b j e c t K e y a n y T y p e z b w N T n L X > < a : K e y > < K e y > C o l u m n s \ R o u n d   o f   A 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 S e c o n d _ S e m e s t e r _ S t r u c t u r e d _ P r o g r a m m i n g _ L a b 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 S e c o n d _ S e m e s t e r _ S t r u c t u r e d _ P r o g r a m m i n g _ L a b 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 C o l u m n s \ L a b   P e r f o m a n c e < / 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 C o l u m n s \ A s s   & a m p ;   F i n a l < / K e y > < / a : K e y > < a : V a l u e   i : t y p e = " T a b l e W i d g e t B a s e V i e w S t a t e " / > < / a : K e y V a l u e O f D i a g r a m O b j e c t K e y a n y T y p e z b w N T n L X > < a : K e y V a l u e O f D i a g r a m O b j e c t K e y a n y T y p e z b w N T n L X > < a : K e y > < K e y > C o l u m n s \ R o u n d   o f   A 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 S e c o n d _ S e m e s t e r _ F u n d a m e n t a l _ W e b s i t e _ D e v e l o p m e n t _ L a b 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 S e c o n d _ S e m e s t e r _ F u n d a m e n t a l _ W e b s i t e _ D e v e l o p m e n t _ L a b 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 C o l u m n s \ L a b   P e r f o m a n c e < / 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 C o l u m n s \ A s s   & a m p ;   F i n a l < / K e y > < / a : K e y > < a : V a l u e   i : t y p e = " T a b l e W i d g e t B a s e V i e w S t a t e " / > < / a : K e y V a l u e O f D i a g r a m O b j e c t K e y a n y T y p e z b w N T n L X > < a : K e y V a l u e O f D i a g r a m O b j e c t K e y a n y T y p e z b w N T n L X > < a : K e y > < K e y > C o l u m n s \ R o u n d   o f   A 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 T h i r d _ S e m e s t e r _ S G P A 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 T h i r d _ S e m e s t e r _ S G P A 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 C o l u m n s \ S t u d y   a n d   C o m m u n i c a t i o n   S k i l l s < / K e y > < / a : K e y > < a : V a l u e   i : t y p e = " T a b l e W i d g e t B a s e V i e w S t a t e " / > < / a : K e y V a l u e O f D i a g r a m O b j e c t K e y a n y T y p e z b w N T n L X > < a : K e y V a l u e O f D i a g r a m O b j e c t K e y a n y T y p e z b w N T n L X > < a : K e y > < K e y > C o l u m n s \ S t u d y   a n d   C o m m u n i c a t i o n   S k i l l s   C r e d i t < / K e y > < / a : K e y > < a : V a l u e   i : t y p e = " T a b l e W i d g e t B a s e V i e w S t a t e " / > < / a : K e y V a l u e O f D i a g r a m O b j e c t K e y a n y T y p e z b w N T n L X > < a : K e y V a l u e O f D i a g r a m O b j e c t K e y a n y T y p e z b w N T n L X > < a : K e y > < K e y > C o l u m n s \ S t u d y   a n d   C o m m u n i c a t i o n   S k i l l s   ( T o t a l   G r a d e   +   C r e d i t ) < / K e y > < / a : K e y > < a : V a l u e   i : t y p e = " T a b l e W i d g e t B a s e V i e w S t a t e " / > < / a : K e y V a l u e O f D i a g r a m O b j e c t K e y a n y T y p e z b w N T n L X > < a : K e y V a l u e O f D i a g r a m O b j e c t K e y a n y T y p e z b w N T n L X > < a : K e y > < K e y > C o l u m n s \ D a t a   S t r u c t u r e < / K e y > < / a : K e y > < a : V a l u e   i : t y p e = " T a b l e W i d g e t B a s e V i e w S t a t e " / > < / a : K e y V a l u e O f D i a g r a m O b j e c t K e y a n y T y p e z b w N T n L X > < a : K e y V a l u e O f D i a g r a m O b j e c t K e y a n y T y p e z b w N T n L X > < a : K e y > < K e y > C o l u m n s \ D a t a   S t r u c t u r e   C r e d i t < / K e y > < / a : K e y > < a : V a l u e   i : t y p e = " T a b l e W i d g e t B a s e V i e w S t a t e " / > < / a : K e y V a l u e O f D i a g r a m O b j e c t K e y a n y T y p e z b w N T n L X > < a : K e y V a l u e O f D i a g r a m O b j e c t K e y a n y T y p e z b w N T n L X > < a : K e y > < K e y > C o l u m n s \ D a t a   S t r u c t u r e   ( T o t a l   G r a d e   +   C r e d i t ) < / K e y > < / a : K e y > < a : V a l u e   i : t y p e = " T a b l e W i d g e t B a s e V i e w S t a t e " / > < / a : K e y V a l u e O f D i a g r a m O b j e c t K e y a n y T y p e z b w N T n L X > < a : K e y V a l u e O f D i a g r a m O b j e c t K e y a n y T y p e z b w N T n L X > < a : K e y > < K e y > C o l u m n s \ C o m p u t e r   N e t w o r k < / K e y > < / a : K e y > < a : V a l u e   i : t y p e = " T a b l e W i d g e t B a s e V i e w S t a t e " / > < / a : K e y V a l u e O f D i a g r a m O b j e c t K e y a n y T y p e z b w N T n L X > < a : K e y V a l u e O f D i a g r a m O b j e c t K e y a n y T y p e z b w N T n L X > < a : K e y > < K e y > C o l u m n s \ C o m p u t e r   N e t w o r k   C r e d i t < / K e y > < / a : K e y > < a : V a l u e   i : t y p e = " T a b l e W i d g e t B a s e V i e w S t a t e " / > < / a : K e y V a l u e O f D i a g r a m O b j e c t K e y a n y T y p e z b w N T n L X > < a : K e y V a l u e O f D i a g r a m O b j e c t K e y a n y T y p e z b w N T n L X > < a : K e y > < K e y > C o l u m n s \ C o m p u t e r   N e t w o r k   ( T o t a l   G r a d e   +   C r e d i t ) < / K e y > < / a : K e y > < a : V a l u e   i : t y p e = " T a b l e W i d g e t B a s e V i e w S t a t e " / > < / a : K e y V a l u e O f D i a g r a m O b j e c t K e y a n y T y p e z b w N T n L X > < a : K e y V a l u e O f D i a g r a m O b j e c t K e y a n y T y p e z b w N T n L X > < a : K e y > < K e y > C o l u m n s \ D a t a   S t r u c t u r e   L a b < / K e y > < / a : K e y > < a : V a l u e   i : t y p e = " T a b l e W i d g e t B a s e V i e w S t a t e " / > < / a : K e y V a l u e O f D i a g r a m O b j e c t K e y a n y T y p e z b w N T n L X > < a : K e y V a l u e O f D i a g r a m O b j e c t K e y a n y T y p e z b w N T n L X > < a : K e y > < K e y > C o l u m n s \ D a t a   S t r u c t u r e   L a b   C r e d i t < / K e y > < / a : K e y > < a : V a l u e   i : t y p e = " T a b l e W i d g e t B a s e V i e w S t a t e " / > < / a : K e y V a l u e O f D i a g r a m O b j e c t K e y a n y T y p e z b w N T n L X > < a : K e y V a l u e O f D i a g r a m O b j e c t K e y a n y T y p e z b w N T n L X > < a : K e y > < K e y > C o l u m n s \ D a t a   S t r u c t u r e   L a b   ( T o t a l   G r a d e   +   C r e d i t ) < / K e y > < / a : K e y > < a : V a l u e   i : t y p e = " T a b l e W i d g e t B a s e V i e w S t a t e " / > < / a : K e y V a l u e O f D i a g r a m O b j e c t K e y a n y T y p e z b w N T n L X > < a : K e y V a l u e O f D i a g r a m O b j e c t K e y a n y T y p e z b w N T n L X > < a : K e y > < K e y > C o l u m n s \ C o m p u t e r   N e t w o r k   L a b < / K e y > < / a : K e y > < a : V a l u e   i : t y p e = " T a b l e W i d g e t B a s e V i e w S t a t e " / > < / a : K e y V a l u e O f D i a g r a m O b j e c t K e y a n y T y p e z b w N T n L X > < a : K e y V a l u e O f D i a g r a m O b j e c t K e y a n y T y p e z b w N T n L X > < a : K e y > < K e y > C o l u m n s \ C o m p u t e r   N e t w o r k   L a b   C r e d i t < / K e y > < / a : K e y > < a : V a l u e   i : t y p e = " T a b l e W i d g e t B a s e V i e w S t a t e " / > < / a : K e y V a l u e O f D i a g r a m O b j e c t K e y a n y T y p e z b w N T n L X > < a : K e y V a l u e O f D i a g r a m O b j e c t K e y a n y T y p e z b w N T n L X > < a : K e y > < K e y > C o l u m n s \ C o m p u t e r   N e t w o r k   L a b   ( T o t a l   G r a d e   +   C r e d i t ) < / K e y > < / a : K e y > < a : V a l u e   i : t y p e = " T a b l e W i d g e t B a s e V i e w S t a t e " / > < / a : K e y V a l u e O f D i a g r a m O b j e c t K e y a n y T y p e z b w N T n L X > < a : K e y V a l u e O f D i a g r a m O b j e c t K e y a n y T y p e z b w N T n L X > < a : K e y > < K e y > C o l u m n s \ D i s c r e t e   M a t h e m a t i c s < / K e y > < / a : K e y > < a : V a l u e   i : t y p e = " T a b l e W i d g e t B a s e V i e w S t a t e " / > < / a : K e y V a l u e O f D i a g r a m O b j e c t K e y a n y T y p e z b w N T n L X > < a : K e y V a l u e O f D i a g r a m O b j e c t K e y a n y T y p e z b w N T n L X > < a : K e y > < K e y > C o l u m n s \ D i s c r e t e   M a t h e m a t i c s   C r e d i t < / K e y > < / a : K e y > < a : V a l u e   i : t y p e = " T a b l e W i d g e t B a s e V i e w S t a t e " / > < / a : K e y V a l u e O f D i a g r a m O b j e c t K e y a n y T y p e z b w N T n L X > < a : K e y V a l u e O f D i a g r a m O b j e c t K e y a n y T y p e z b w N T n L X > < a : K e y > < K e y > C o l u m n s \ D i s c r e t e   M a t h e m a t i c s   ( T o t a l   G r a d e   +   C r e d i t ) < / K e y > < / a : K e y > < a : V a l u e   i : t y p e = " T a b l e W i d g e t B a s e V i e w S t a t e " / > < / a : K e y V a l u e O f D i a g r a m O b j e c t K e y a n y T y p e z b w N T n L X > < a : K e y V a l u e O f D i a g r a m O b j e c t K e y a n y T y p e z b w N T n L X > < a : K e y > < K e y > C o l u m n s \ T o t a l   S u b j e c t   C r e d i t < / K e y > < / a : K e y > < a : V a l u e   i : t y p e = " T a b l e W i d g e t B a s e V i e w S t a t e " / > < / a : K e y V a l u e O f D i a g r a m O b j e c t K e y a n y T y p e z b w N T n L X > < a : K e y V a l u e O f D i a g r a m O b j e c t K e y a n y T y p e z b w N T n L X > < a : K e y > < K e y > C o l u m n s \ 3 r d   S e m e s t e r   ( S G P A ) < / 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 T h i r d _ S e m e s t e r _ S t u d y _ a n d _ C o m m u n i c a t i o n _ S k i l l s 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 T h i r d _ S e m e s t e r _ S t u d y _ a n d _ C o m m u n i c a t i o n _ S k i l l s 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 C o l u m n s \ P r e s e n t a t i o n < / 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 C o l u m n s \ T o t a l   o u t   o f   A P A < / K e y > < / a : K e y > < a : V a l u e   i : t y p e = " T a b l e W i d g e t B a s e V i e w S t a t e " / > < / a : K e y V a l u e O f D i a g r a m O b j e c t K e y a n y T y p e z b w N T n L X > < a : K e y V a l u e O f D i a g r a m O b j e c t K e y a n y T y p e z b w N T n L X > < a : K e y > < K e y > C o l u m n s \ R o u n d   o f   A P A < / K e y > < / a : K e y > < a : V a l u e   i : t y p e = " T a b l e W i d g e t B a s e V i e w S t a t e " / > < / a : K e y V a l u e O f D i a g r a m O b j e c t K e y a n y T y p e z b w N T n L X > < a : K e y V a l u e O f D i a g r a m O b j e c t K e y a n y T y p e z b w N T n L X > < a : K e y > < K e y > C o l u m n s \ M i d t e r m < / 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 C o l u m n s \ M i d   & a m p ;   F i n a l < / K e y > < / a : K e y > < a : V a l u e   i : t y p e = " T a b l e W i d g e t B a s e V i e w S t a t e " / > < / a : K e y V a l u e O f D i a g r a m O b j e c t K e y a n y T y p e z b w N T n L X > < a : K e y V a l u e O f D i a g r a m O b j e c t K e y a n y T y p e z b w N T n L X > < a : K e y > < K e y > C o l u m n s \ R o u n d   o f   M 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 T h i r d _ S e m e s t e r _ D a t a _ S t r u c t u r e 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 T h i r d _ S e m e s t e r _ D a t a _ S t r u c t u r e 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 C o l u m n s \ A s s   & a m p ;   F i n a l < / K e y > < / a : K e y > < a : V a l u e   i : t y p e = " T a b l e W i d g e t B a s e V i e w S t a t e " / > < / a : K e y V a l u e O f D i a g r a m O b j e c t K e y a n y T y p e z b w N T n L X > < a : K e y V a l u e O f D i a g r a m O b j e c t K e y a n y T y p e z b w N T n L X > < a : K e y > < K e y > C o l u m n s \ R o u n d   o f   A 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 T h i r d _ S e m e s t e r _ C o m p u t e r _ N e t w o r k < / 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 T h i r d _ S e m e s t e r _ C o m p u t e r _ N e t w o r k < / 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 C o l u m n s \ A s s   & a m p ;   F i n a l < / K e y > < / a : K e y > < a : V a l u e   i : t y p e = " T a b l e W i d g e t B a s e V i e w S t a t e " / > < / a : K e y V a l u e O f D i a g r a m O b j e c t K e y a n y T y p e z b w N T n L X > < a : K e y V a l u e O f D i a g r a m O b j e c t K e y a n y T y p e z b w N T n L X > < a : K e y > < K e y > C o l u m n s \ R o u n d   o f   A 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 T h i r d _ S e m e s t e r _ D a t a _ S t r u c t u r e _ L a b 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 T h i r d _ S e m e s t e r _ D a t a _ S t r u c t u r e _ L a b 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 C o l u m n s \ L a b   P e r f o m a n c e < / 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 C o l u m n s \ A s s   & a m p ;   F i n a l < / K e y > < / a : K e y > < a : V a l u e   i : t y p e = " T a b l e W i d g e t B a s e V i e w S t a t e " / > < / a : K e y V a l u e O f D i a g r a m O b j e c t K e y a n y T y p e z b w N T n L X > < a : K e y V a l u e O f D i a g r a m O b j e c t K e y a n y T y p e z b w N T n L X > < a : K e y > < K e y > C o l u m n s \ R o u n d   o f   A 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 T h i r d _ S e m e s t e r _ C o m p u t e r _ N e t w o r k _ L a b < / 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 T h i r d _ S e m e s t e r _ C o m p u t e r _ N e t w o r k _ L a b < / 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 C o l u m n s \ L a b   P e r f o m a n c e < / 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 C o l u m n s \ A s s   & a m p ;   F i n a l < / K e y > < / a : K e y > < a : V a l u e   i : t y p e = " T a b l e W i d g e t B a s e V i e w S t a t e " / > < / a : K e y V a l u e O f D i a g r a m O b j e c t K e y a n y T y p e z b w N T n L X > < a : K e y V a l u e O f D i a g r a m O b j e c t K e y a n y T y p e z b w N T n L X > < a : K e y > < K e y > C o l u m n s \ R o u n d   o f   A 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 T h i r d _ S e m e s t e r _ D i s c r e t e _ M a t h e m a t i c s 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 T h i r d _ S e m e s t e r _ D i s c r e t e _ M a t h e m a t i c s 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 C o l u m n s \ R o l l   N o < / K e y > < / a : K e y > < a : V a l u e   i : t y p e = " T a b l e W i d g e t B a s e V i e w S t a t e " / > < / a : K e y V a l u e O f D i a g r a m O b j e c t K e y a n y T y p e z b w N T n L X > < a : K e y V a l u e O f D i a g r a m O b j e c t K e y a n y T y p e z b w N T n L X > < a : K e y > < K e y > C o l u m n s \ N a m e   o f   S t u d e n t < / K e y > < / a : K e y > < a : V a l u e   i : t y p e = " T a b l e W i d g e t B a s e V i e w S t a t e " / > < / a : K e y V a l u e O f D i a g r a m O b j e c t K e y a n y T y p e z b w N T n L X > < a : K e y V a l u e O f D i a g r a m O b j e c t K e y a n y T y p e z b w N T n L X > < a : K e y > < K e y > C o l u m n s \ Q u i z   1 < / K e y > < / a : K e y > < a : V a l u e   i : t y p e = " T a b l e W i d g e t B a s e V i e w S t a t e " / > < / a : K e y V a l u e O f D i a g r a m O b j e c t K e y a n y T y p e z b w N T n L X > < a : K e y V a l u e O f D i a g r a m O b j e c t K e y a n y T y p e z b w N T n L X > < a : K e y > < K e y > C o l u m n s \ Q u i z   2 < / K e y > < / a : K e y > < a : V a l u e   i : t y p e = " T a b l e W i d g e t B a s e V i e w S t a t e " / > < / a : K e y V a l u e O f D i a g r a m O b j e c t K e y a n y T y p e z b w N T n L X > < a : K e y V a l u e O f D i a g r a m O b j e c t K e y a n y T y p e z b w N T n L X > < a : K e y > < K e y > C o l u m n s \ Q u i z   3 < / K e y > < / a : K e y > < a : V a l u e   i : t y p e = " T a b l e W i d g e t B a s e V i e w S t a t e " / > < / a : K e y V a l u e O f D i a g r a m O b j e c t K e y a n y T y p e z b w N T n L X > < a : K e y V a l u e O f D i a g r a m O b j e c t K e y a n y T y p e z b w N T n L X > < a : K e y > < K e y > C o l u m n s \ Q u i z   A v e r a g e < / K e y > < / a : K e y > < a : V a l u e   i : t y p e = " T a b l e W i d g e t B a s e V i e w S t a t e " / > < / a : K e y V a l u e O f D i a g r a m O b j e c t K e y a n y T y p e z b w N T n L X > < a : K e y V a l u e O f D i a g r a m O b j e c t K e y a n y T y p e z b w N T n L X > < a : K e y > < K e y > C o l u m n s \ R o u n d   o f   A v e r a g e < / K e y > < / a : K e y > < a : V a l u e   i : t y p e = " T a b l e W i d g e t B a s e V i e w S t a t e " / > < / a : K e y V a l u e O f D i a g r a m O b j e c t K e y a n y T y p e z b w N T n L X > < a : K e y V a l u e O f D i a g r a m O b j e c t K e y a n y T y p e z b w N T n L X > < a : K e y > < K e y > C o l u m n s \ A s s i g n m e n t < / K e y > < / a : K e y > < a : V a l u e   i : t y p e = " T a b l e W i d g e t B a s e V i e w S t a t e " / > < / a : K e y V a l u e O f D i a g r a m O b j e c t K e y a n y T y p e z b w N T n L X > < a : K e y V a l u e O f D i a g r a m O b j e c t K e y a n y T y p e z b w N T n L X > < a : K e y > < K e y > C o l u m n s \ P r e s e n t a t i o n < / K e y > < / a : K e y > < a : V a l u e   i : t y p e = " T a b l e W i d g e t B a s e V i e w S t a t e " / > < / a : K e y V a l u e O f D i a g r a m O b j e c t K e y a n y T y p e z b w N T n L X > < a : K e y V a l u e O f D i a g r a m O b j e c t K e y a n y T y p e z b w N T n L X > < a : K e y > < K e y > C o l u m n s \ A t t e n d a n c e < / K e y > < / a : K e y > < a : V a l u e   i : t y p e = " T a b l e W i d g e t B a s e V i e w S t a t e " / > < / a : K e y V a l u e O f D i a g r a m O b j e c t K e y a n y T y p e z b w N T n L X > < a : K e y V a l u e O f D i a g r a m O b j e c t K e y a n y T y p e z b w N T n L X > < a : K e y > < K e y > C o l u m n s \ T o t a l   o u t   o f   A P A < / K e y > < / a : K e y > < a : V a l u e   i : t y p e = " T a b l e W i d g e t B a s e V i e w S t a t e " / > < / a : K e y V a l u e O f D i a g r a m O b j e c t K e y a n y T y p e z b w N T n L X > < a : K e y V a l u e O f D i a g r a m O b j e c t K e y a n y T y p e z b w N T n L X > < a : K e y > < K e y > C o l u m n s \ R o u n d   o f   A P A < / K e y > < / a : K e y > < a : V a l u e   i : t y p e = " T a b l e W i d g e t B a s e V i e w S t a t e " / > < / a : K e y V a l u e O f D i a g r a m O b j e c t K e y a n y T y p e z b w N T n L X > < a : K e y V a l u e O f D i a g r a m O b j e c t K e y a n y T y p e z b w N T n L X > < a : K e y > < K e y > C o l u m n s \ M i d t e r m < / K e y > < / a : K e y > < a : V a l u e   i : t y p e = " T a b l e W i d g e t B a s e V i e w S t a t e " / > < / a : K e y V a l u e O f D i a g r a m O b j e c t K e y a n y T y p e z b w N T n L X > < a : K e y V a l u e O f D i a g r a m O b j e c t K e y a n y T y p e z b w N T n L X > < a : K e y > < K e y > C o l u m n s \ F i n a l < / K e y > < / a : K e y > < a : V a l u e   i : t y p e = " T a b l e W i d g e t B a s e V i e w S t a t e " / > < / a : K e y V a l u e O f D i a g r a m O b j e c t K e y a n y T y p e z b w N T n L X > < a : K e y V a l u e O f D i a g r a m O b j e c t K e y a n y T y p e z b w N T n L X > < a : K e y > < K e y > C o l u m n s \ M i d   & a m p ;   F i n a l < / K e y > < / a : K e y > < a : V a l u e   i : t y p e = " T a b l e W i d g e t B a s e V i e w S t a t e " / > < / a : K e y V a l u e O f D i a g r a m O b j e c t K e y a n y T y p e z b w N T n L X > < a : K e y V a l u e O f D i a g r a m O b j e c t K e y a n y T y p e z b w N T n L X > < a : K e y > < K e y > C o l u m n s \ R o u n d   o f   M   & a m p ;   F < / K e y > < / a : K e y > < a : V a l u e   i : t y p e = " T a b l e W i d g e t B a s e V i e w S t a t e " / > < / a : K e y V a l u e O f D i a g r a m O b j e c t K e y a n y T y p e z b w N T n L X > < a : K e y V a l u e O f D i a g r a m O b j e c t K e y a n y T y p e z b w N T n L X > < a : K e y > < K e y > C o l u m n s \ T o t a l < / K e y > < / a : K e y > < a : V a l u e   i : t y p e = " T a b l e W i d g e t B a s e V i e w S t a t e " / > < / a : K e y V a l u e O f D i a g r a m O b j e c t K e y a n y T y p e z b w N T n L X > < a : K e y V a l u e O f D i a g r a m O b j e c t K e y a n y T y p e z b w N T n L X > < a : K e y > < K e y > C o l u m n s \ G r a d e   S c a l e < / K e y > < / a : K e y > < a : V a l u e   i : t y p e = " T a b l e W i d g e t B a s e V i e w S t a t e " / > < / a : K e y V a l u e O f D i a g r a m O b j e c t K e y a n y T y p e z b w N T n L X > < a : K e y V a l u e O f D i a g r a m O b j e c t K e y a n y T y p e z b w N T n L X > < a : K e y > < K e y > C o l u m n s \ G r a d e   P o i n t < / K e y > < / a : K e y > < a : V a l u e   i : t y p e = " T a b l e W i d g e t B a s e V i e w S t a t e " / > < / a : K e y V a l u e O f D i a g r a m O b j e c t K e y a n y T y p e z b w N T n L X > < a : K e y V a l u e O f D i a g r a m O b j e c t K e y a n y T y p e z b w N T n L X > < a : K e y > < K e y > C o l u m n s \ R e m a r k s < / 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5.xml>��< ? x m l   v e r s i o n = " 1 . 0 "   e n c o d i n g = " U T F - 1 6 " ? > < G e m i n i   x m l n s = " h t t p : / / g e m i n i / p i v o t c u s t o m i z a t i o n / T a b l e X M L _ E m p l o y e e _ I n f o r m a t i o n " > < C u s t o m C o n t e n t > < ! [ C D A T A [ < T a b l e W i d g e t G r i d S e r i a l i z a t i o n   x m l n s : x s d = " h t t p : / / w w w . w 3 . o r g / 2 0 0 1 / X M L S c h e m a "   x m l n s : x s i = " h t t p : / / w w w . w 3 . o r g / 2 0 0 1 / X M L S c h e m a - i n s t a n c e " > < C o l u m n S u g g e s t e d T y p e   / > < C o l u m n F o r m a t   / > < C o l u m n A c c u r a c y   / > < C o l u m n C u r r e n c y S y m b o l   / > < C o l u m n P o s i t i v e P a t t e r n   / > < C o l u m n N e g a t i v e P a t t e r n   / > < C o l u m n W i d t h s > < i t e m > < k e y > < s t r i n g > E m p l o y e e   I D < / s t r i n g > < / k e y > < v a l u e > < i n t > 1 1 4 < / i n t > < / v a l u e > < / i t e m > < i t e m > < k e y > < s t r i n g > N a m e   o f   E m p l o y e e < / s t r i n g > < / k e y > < v a l u e > < i n t > 1 5 4 < / i n t > < / v a l u e > < / i t e m > < i t e m > < k e y > < s t r i n g > D e p a r t m e n t < / s t r i n g > < / k e y > < v a l u e > < i n t > 1 1 1 < / i n t > < / v a l u e > < / i t e m > < i t e m > < k e y > < s t r i n g > B a n k < / s t r i n g > < / k e y > < v a l u e > < i n t > 6 6 < / i n t > < / v a l u e > < / i t e m > < i t e m > < k e y > < s t r i n g > C o n t a c t   N u m b e r < / s t r i n g > < / k e y > < v a l u e > < i n t > 1 3 7 < / i n t > < / v a l u e > < / i t e m > < i t e m > < k e y > < s t r i n g > E m a i l   A d d r e s s < / s t r i n g > < / k e y > < v a l u e > < i n t > 1 2 3 < / i n t > < / v a l u e > < / i t e m > < i t e m > < k e y > < s t r i n g > D a t e   o f   B i r t h < / s t r i n g > < / k e y > < v a l u e > < i n t > 1 1 4 < / i n t > < / v a l u e > < / i t e m > < / C o l u m n W i d t h s > < C o l u m n D i s p l a y I n d e x > < i t e m > < k e y > < s t r i n g > E m p l o y e e   I D < / s t r i n g > < / k e y > < v a l u e > < i n t > 0 < / i n t > < / v a l u e > < / i t e m > < i t e m > < k e y > < s t r i n g > N a m e   o f   E m p l o y e e < / s t r i n g > < / k e y > < v a l u e > < i n t > 1 < / i n t > < / v a l u e > < / i t e m > < i t e m > < k e y > < s t r i n g > D e p a r t m e n t < / s t r i n g > < / k e y > < v a l u e > < i n t > 2 < / i n t > < / v a l u e > < / i t e m > < i t e m > < k e y > < s t r i n g > B a n k < / s t r i n g > < / k e y > < v a l u e > < i n t > 3 < / i n t > < / v a l u e > < / i t e m > < i t e m > < k e y > < s t r i n g > C o n t a c t   N u m b e r < / s t r i n g > < / k e y > < v a l u e > < i n t > 4 < / i n t > < / v a l u e > < / i t e m > < i t e m > < k e y > < s t r i n g > E m a i l   A d d r e s s < / s t r i n g > < / k e y > < v a l u e > < i n t > 5 < / i n t > < / v a l u e > < / i t e m > < i t e m > < k e y > < s t r i n g > D a t e   o f   B i r t h < / s t r i n g > < / k e y > < v a l u e > < i n t > 6 < / 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T h i r d _ S e m e s t e r _ D i s c r e t e _ M a t h e m a t i c s " > < C u s t o m C o n t e n t > < ! [ C D A T A [ < T a b l e W i d g e t G r i d S e r i a l i z a t i o n   x m l n s : x s d = " h t t p : / / w w w . w 3 . o r g / 2 0 0 1 / X M L S c h e m a "   x m l n s : x s i = " h t t p : / / w w w . w 3 . o r g / 2 0 0 1 / X M L S c h e m a - i n s t a n c e " > < C o l u m n S u g g e s t e d T y p e   / > < C o l u m n F o r m a t   / > < C o l u m n A c c u r a c y   / > < C o l u m n C u r r e n c y S y m b o l   / > < C o l u m n P o s i t i v e P a t t e r n   / > < C o l u m n N e g a t i v e P a t t e r n   / > < C o l u m n W i d t h s > < i t e m > < k e y > < s t r i n g > R o l l   N o < / s t r i n g > < / k e y > < v a l u e > < i n t > 8 1 < / i n t > < / v a l u e > < / i t e m > < i t e m > < k e y > < s t r i n g > N a m e   o f   S t u d e n t < / s t r i n g > < / k e y > < v a l u e > < i n t > 1 4 1 < / i n t > < / v a l u e > < / i t e m > < i t e m > < k e y > < s t r i n g > Q u i z   1 < / s t r i n g > < / k e y > < v a l u e > < i n t > 7 4 < / i n t > < / v a l u e > < / i t e m > < i t e m > < k e y > < s t r i n g > Q u i z   2 < / s t r i n g > < / k e y > < v a l u e > < i n t > 7 4 < / i n t > < / v a l u e > < / i t e m > < i t e m > < k e y > < s t r i n g > Q u i z   3 < / s t r i n g > < / k e y > < v a l u e > < i n t > 7 4 < / i n t > < / v a l u e > < / i t e m > < i t e m > < k e y > < s t r i n g > Q u i z   A v e r a g e < / s t r i n g > < / k e y > < v a l u e > < i n t > 1 1 8 < / i n t > < / v a l u e > < / i t e m > < i t e m > < k e y > < s t r i n g > R o u n d   o f   A v e r a g e < / s t r i n g > < / k e y > < v a l u e > < i n t > 1 4 6 < / i n t > < / v a l u e > < / i t e m > < i t e m > < k e y > < s t r i n g > A s s i g n m e n t < / s t r i n g > < / k e y > < v a l u e > < i n t > 1 0 9 < / i n t > < / v a l u e > < / i t e m > < i t e m > < k e y > < s t r i n g > P r e s e n t a t i o n < / s t r i n g > < / k e y > < v a l u e > < i n t > 1 1 5 < / i n t > < / v a l u e > < / i t e m > < i t e m > < k e y > < s t r i n g > A t t e n d a n c e < / s t r i n g > < / k e y > < v a l u e > < i n t > 1 0 8 < / i n t > < / v a l u e > < / i t e m > < i t e m > < k e y > < s t r i n g > T o t a l   o u t   o f   A P A < / s t r i n g > < / k e y > < v a l u e > < i n t > 1 3 4 < / i n t > < / v a l u e > < / i t e m > < i t e m > < k e y > < s t r i n g > R o u n d   o f   A P A < / s t r i n g > < / k e y > < v a l u e > < i n t > 1 2 0 < / i n t > < / v a l u e > < / i t e m > < i t e m > < k e y > < s t r i n g > M i d t e r m < / s t r i n g > < / k e y > < v a l u e > < i n t > 9 0 < / i n t > < / v a l u e > < / i t e m > < i t e m > < k e y > < s t r i n g > F i n a l < / s t r i n g > < / k e y > < v a l u e > < i n t > 6 6 < / i n t > < / v a l u e > < / i t e m > < i t e m > < k e y > < s t r i n g > M i d   & a m p ;   F i n a l < / s t r i n g > < / k e y > < v a l u e > < i n t > 1 0 6 < / i n t > < / v a l u e > < / i t e m > < i t e m > < k e y > < s t r i n g > R o u n d   o f   M   & a m p ;   F < / s t r i n g > < / k e y > < v a l u e > < i n t > 1 3 0 < / i n t > < / v a l u e > < / i t e m > < i t e m > < k e y > < s t r i n g > T o t a l < / s t r i n g > < / k e y > < v a l u e > < i n t > 6 6 < / i n t > < / v a l u e > < / i t e m > < i t e m > < k e y > < s t r i n g > G r a d e   S c a l e < / s t r i n g > < / k e y > < v a l u e > < i n t > 1 0 8 < / i n t > < / v a l u e > < / i t e m > < i t e m > < k e y > < s t r i n g > G r a d e   P o i n t < / s t r i n g > < / k e y > < v a l u e > < i n t > 1 0 9 < / i n t > < / v a l u e > < / i t e m > < i t e m > < k e y > < s t r i n g > R e m a r k s < / s t r i n g > < / k e y > < v a l u e > < i n t > 8 9 < / i n t > < / v a l u e > < / i t e m > < / C o l u m n W i d t h s > < C o l u m n D i s p l a y I n d e x > < i t e m > < k e y > < s t r i n g > R o l l   N o < / s t r i n g > < / k e y > < v a l u e > < i n t > 0 < / i n t > < / v a l u e > < / i t e m > < i t e m > < k e y > < s t r i n g > N a m e   o f   S t u d e n t < / s t r i n g > < / k e y > < v a l u e > < i n t > 1 < / i n t > < / v a l u e > < / i t e m > < i t e m > < k e y > < s t r i n g > Q u i z   1 < / s t r i n g > < / k e y > < v a l u e > < i n t > 2 < / i n t > < / v a l u e > < / i t e m > < i t e m > < k e y > < s t r i n g > Q u i z   2 < / s t r i n g > < / k e y > < v a l u e > < i n t > 3 < / i n t > < / v a l u e > < / i t e m > < i t e m > < k e y > < s t r i n g > Q u i z   3 < / s t r i n g > < / k e y > < v a l u e > < i n t > 4 < / i n t > < / v a l u e > < / i t e m > < i t e m > < k e y > < s t r i n g > Q u i z   A v e r a g e < / s t r i n g > < / k e y > < v a l u e > < i n t > 5 < / i n t > < / v a l u e > < / i t e m > < i t e m > < k e y > < s t r i n g > R o u n d   o f   A v e r a g e < / s t r i n g > < / k e y > < v a l u e > < i n t > 6 < / i n t > < / v a l u e > < / i t e m > < i t e m > < k e y > < s t r i n g > A s s i g n m e n t < / s t r i n g > < / k e y > < v a l u e > < i n t > 7 < / i n t > < / v a l u e > < / i t e m > < i t e m > < k e y > < s t r i n g > P r e s e n t a t i o n < / s t r i n g > < / k e y > < v a l u e > < i n t > 8 < / i n t > < / v a l u e > < / i t e m > < i t e m > < k e y > < s t r i n g > A t t e n d a n c e < / s t r i n g > < / k e y > < v a l u e > < i n t > 9 < / i n t > < / v a l u e > < / i t e m > < i t e m > < k e y > < s t r i n g > T o t a l   o u t   o f   A P A < / s t r i n g > < / k e y > < v a l u e > < i n t > 1 0 < / i n t > < / v a l u e > < / i t e m > < i t e m > < k e y > < s t r i n g > R o u n d   o f   A P A < / s t r i n g > < / k e y > < v a l u e > < i n t > 1 1 < / i n t > < / v a l u e > < / i t e m > < i t e m > < k e y > < s t r i n g > M i d t e r m < / s t r i n g > < / k e y > < v a l u e > < i n t > 1 2 < / i n t > < / v a l u e > < / i t e m > < i t e m > < k e y > < s t r i n g > F i n a l < / s t r i n g > < / k e y > < v a l u e > < i n t > 1 3 < / i n t > < / v a l u e > < / i t e m > < i t e m > < k e y > < s t r i n g > M i d   & a m p ;   F i n a l < / s t r i n g > < / k e y > < v a l u e > < i n t > 1 4 < / i n t > < / v a l u e > < / i t e m > < i t e m > < k e y > < s t r i n g > R o u n d   o f   M   & a m p ;   F < / s t r i n g > < / k e y > < v a l u e > < i n t > 1 5 < / i n t > < / v a l u e > < / i t e m > < i t e m > < k e y > < s t r i n g > T o t a l < / s t r i n g > < / k e y > < v a l u e > < i n t > 1 6 < / i n t > < / v a l u e > < / i t e m > < i t e m > < k e y > < s t r i n g > G r a d e   S c a l e < / s t r i n g > < / k e y > < v a l u e > < i n t > 1 7 < / i n t > < / v a l u e > < / i t e m > < i t e m > < k e y > < s t r i n g > G r a d e   P o i n t < / s t r i n g > < / k e y > < v a l u e > < i n t > 1 8 < / i n t > < / v a l u e > < / i t e m > < i t e m > < k e y > < s t r i n g > R e m a r k s < / s t r i n g > < / k e y > < v a l u e > < i n t > 1 9 < / 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 E m p l o y e e _ I n f o r m a t i o n 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 E m p l o y e e _ I n f o r m a t i o n 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  I D < / K e y > < / D i a g r a m O b j e c t K e y > < D i a g r a m O b j e c t K e y > < K e y > C o l u m n s \ N a m e   o f   E m p l o y e e < / K e y > < / D i a g r a m O b j e c t K e y > < D i a g r a m O b j e c t K e y > < K e y > C o l u m n s \ D e p a r t m e n t < / K e y > < / D i a g r a m O b j e c t K e y > < D i a g r a m O b j e c t K e y > < K e y > C o l u m n s \ B a n k < / K e y > < / D i a g r a m O b j e c t K e y > < D i a g r a m O b j e c t K e y > < K e y > C o l u m n s \ C o n t a c t   N u m b e r < / K e y > < / D i a g r a m O b j e c t K e y > < D i a g r a m O b j e c t K e y > < K e y > C o l u m n s \ E m a i l   A d d r e s s < / K e y > < / D i a g r a m O b j e c t K e y > < D i a g r a m O b j e c t K e y > < K e y > C o l u m n s \ D a t e   o f   B i r t h 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  I D < / K e y > < / a : K e y > < a : V a l u e   i : t y p e = " M e a s u r e G r i d N o d e V i e w S t a t e " > < L a y e d O u t > t r u e < / L a y e d O u t > < / a : V a l u e > < / a : K e y V a l u e O f D i a g r a m O b j e c t K e y a n y T y p e z b w N T n L X > < a : K e y V a l u e O f D i a g r a m O b j e c t K e y a n y T y p e z b w N T n L X > < a : K e y > < K e y > C o l u m n s \ N a m e   o f   E m p l o y e e < / K e y > < / a : K e y > < a : V a l u e   i : t y p e = " M e a s u r e G r i d N o d e V i e w S t a t e " > < C o l u m n > 1 < / C o l u m n > < L a y e d O u t > t r u e < / L a y e d O u t > < / a : V a l u e > < / a : K e y V a l u e O f D i a g r a m O b j e c t K e y a n y T y p e z b w N T n L X > < a : K e y V a l u e O f D i a g r a m O b j e c t K e y a n y T y p e z b w N T n L X > < a : K e y > < K e y > C o l u m n s \ D e p a r t m e n t < / K e y > < / a : K e y > < a : V a l u e   i : t y p e = " M e a s u r e G r i d N o d e V i e w S t a t e " > < C o l u m n > 2 < / C o l u m n > < L a y e d O u t > t r u e < / L a y e d O u t > < / a : V a l u e > < / a : K e y V a l u e O f D i a g r a m O b j e c t K e y a n y T y p e z b w N T n L X > < a : K e y V a l u e O f D i a g r a m O b j e c t K e y a n y T y p e z b w N T n L X > < a : K e y > < K e y > C o l u m n s \ B a n k < / K e y > < / a : K e y > < a : V a l u e   i : t y p e = " M e a s u r e G r i d N o d e V i e w S t a t e " > < C o l u m n > 3 < / C o l u m n > < L a y e d O u t > t r u e < / L a y e d O u t > < / a : V a l u e > < / a : K e y V a l u e O f D i a g r a m O b j e c t K e y a n y T y p e z b w N T n L X > < a : K e y V a l u e O f D i a g r a m O b j e c t K e y a n y T y p e z b w N T n L X > < a : K e y > < K e y > C o l u m n s \ C o n t a c t   N u m b e r < / K e y > < / a : K e y > < a : V a l u e   i : t y p e = " M e a s u r e G r i d N o d e V i e w S t a t e " > < C o l u m n > 4 < / C o l u m n > < L a y e d O u t > t r u e < / L a y e d O u t > < / a : V a l u e > < / a : K e y V a l u e O f D i a g r a m O b j e c t K e y a n y T y p e z b w N T n L X > < a : K e y V a l u e O f D i a g r a m O b j e c t K e y a n y T y p e z b w N T n L X > < a : K e y > < K e y > C o l u m n s \ E m a i l   A d d r e s s < / K e y > < / a : K e y > < a : V a l u e   i : t y p e = " M e a s u r e G r i d N o d e V i e w S t a t e " > < C o l u m n > 5 < / C o l u m n > < L a y e d O u t > t r u e < / L a y e d O u t > < / a : V a l u e > < / a : K e y V a l u e O f D i a g r a m O b j e c t K e y a n y T y p e z b w N T n L X > < a : K e y V a l u e O f D i a g r a m O b j e c t K e y a n y T y p e z b w N T n L X > < a : K e y > < K e y > C o l u m n s \ D a t e   o f   B i r t h < / K e y > < / a : K e y > < a : V a l u e   i : t y p e = " M e a s u r e G r i d N o d e V i e w S t a t e " > < C o l u m n > 6 < / C o l u m n > < L a y e d O u t > t r u e < / L a y e d O u t > < / a : V a l u e > < / a : K e y V a l u e O f D i a g r a m O b j e c t K e y a n y T y p e z b w N T n L X > < / V i e w S t a t e s > < / D i a g r a m M a n a g e r . S e r i a l i z a b l e D i a g r a m > < D i a g r a m M a n a g e r . S e r i a l i z a b l e D i a g r a m > < A d a p t e r   i : t y p e = " M e a s u r e D i a g r a m S a n d b o x A d a p t e r " > < T a b l e N a m e > I n t r o d u c t i o n 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 I n t r o d u c t i o n 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 B a s i c _ K n o w l e d g e 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 B a s i c _ K n o w l e d g e 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 F i r s t _ S e m e s t e r _ C G P A 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 F i r s t _ S e m e s t e r _ C G P A 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 C o l u m n s \ E n g l i s h   L a n g u a g e   -   I < / K e y > < / D i a g r a m O b j e c t K e y > < D i a g r a m O b j e c t K e y > < K e y > C o l u m n s \ E n g l i s h   L a n g u a g e   -   I   C r e d i t < / K e y > < / D i a g r a m O b j e c t K e y > < D i a g r a m O b j e c t K e y > < K e y > C o l u m n s \ E n g l i s h   L a n g u a g e   -   I   ( T o t a l   G r a d e   +   C r e d i t ) < / K e y > < / D i a g r a m O b j e c t K e y > < D i a g r a m O b j e c t K e y > < K e y > C o l u m n s \ M a t h e m a t i c s   -   I < / K e y > < / D i a g r a m O b j e c t K e y > < D i a g r a m O b j e c t K e y > < K e y > C o l u m n s \ M a t h e m a t i c s   -   I   C r e d i t < / K e y > < / D i a g r a m O b j e c t K e y > < D i a g r a m O b j e c t K e y > < K e y > C o l u m n s \ M a t h e m a t i c s   -   I   ( T o t a l   G r a d e   +   C r e d i t ) < / K e y > < / D i a g r a m O b j e c t K e y > < D i a g r a m O b j e c t K e y > < K e y > C o l u m n s \ C o m p u t e r   F u n d a m e n t a l s < / K e y > < / D i a g r a m O b j e c t K e y > < D i a g r a m O b j e c t K e y > < K e y > C o l u m n s \ C o m p u t e r   F u n d a m e n t a l s   C r e d i t < / K e y > < / D i a g r a m O b j e c t K e y > < D i a g r a m O b j e c t K e y > < K e y > C o l u m n s \ C o m p u t e r   F u n d a m e n t a l s   ( T o t a l   G r a d e   +   C r e d i t ) < / K e y > < / D i a g r a m O b j e c t K e y > < D i a g r a m O b j e c t K e y > < K e y > C o l u m n s \ I n f o r m a t i o n   S y s t e m s   E n g i n e e r i n g < / K e y > < / D i a g r a m O b j e c t K e y > < D i a g r a m O b j e c t K e y > < K e y > C o l u m n s \ I n f o r m a t i o n   S y s t e m s   E n g i n e e r i n g   C r e d i t < / K e y > < / D i a g r a m O b j e c t K e y > < D i a g r a m O b j e c t K e y > < K e y > C o l u m n s \ I n f o r m a t i o n   S y s t e m s   E n g i n e e r i n g   ( T o t a l   G r a d e   +   C r e d i t ) < / K e y > < / D i a g r a m O b j e c t K e y > < D i a g r a m O b j e c t K e y > < K e y > C o l u m n s \ T o t a l   S u b j e c t   C r e d i t < / K e y > < / D i a g r a m O b j e c t K e y > < D i a g r a m O b j e c t K e y > < K e y > C o l u m n s \ 1 s t   S e m e s t e r   C G P A < / 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 C o l u m n s \ E n g l i s h   L a n g u a g e   -   I < / K e y > < / a : K e y > < a : V a l u e   i : t y p e = " M e a s u r e G r i d N o d e V i e w S t a t e " > < C o l u m n > 2 < / C o l u m n > < L a y e d O u t > t r u e < / L a y e d O u t > < / a : V a l u e > < / a : K e y V a l u e O f D i a g r a m O b j e c t K e y a n y T y p e z b w N T n L X > < a : K e y V a l u e O f D i a g r a m O b j e c t K e y a n y T y p e z b w N T n L X > < a : K e y > < K e y > C o l u m n s \ E n g l i s h   L a n g u a g e   -   I   C r e d i t < / K e y > < / a : K e y > < a : V a l u e   i : t y p e = " M e a s u r e G r i d N o d e V i e w S t a t e " > < C o l u m n > 3 < / C o l u m n > < L a y e d O u t > t r u e < / L a y e d O u t > < / a : V a l u e > < / a : K e y V a l u e O f D i a g r a m O b j e c t K e y a n y T y p e z b w N T n L X > < a : K e y V a l u e O f D i a g r a m O b j e c t K e y a n y T y p e z b w N T n L X > < a : K e y > < K e y > C o l u m n s \ E n g l i s h   L a n g u a g e   -   I   ( T o t a l   G r a d e   +   C r e d i t ) < / K e y > < / a : K e y > < a : V a l u e   i : t y p e = " M e a s u r e G r i d N o d e V i e w S t a t e " > < C o l u m n > 4 < / C o l u m n > < L a y e d O u t > t r u e < / L a y e d O u t > < / a : V a l u e > < / a : K e y V a l u e O f D i a g r a m O b j e c t K e y a n y T y p e z b w N T n L X > < a : K e y V a l u e O f D i a g r a m O b j e c t K e y a n y T y p e z b w N T n L X > < a : K e y > < K e y > C o l u m n s \ M a t h e m a t i c s   -   I < / K e y > < / a : K e y > < a : V a l u e   i : t y p e = " M e a s u r e G r i d N o d e V i e w S t a t e " > < C o l u m n > 5 < / C o l u m n > < L a y e d O u t > t r u e < / L a y e d O u t > < / a : V a l u e > < / a : K e y V a l u e O f D i a g r a m O b j e c t K e y a n y T y p e z b w N T n L X > < a : K e y V a l u e O f D i a g r a m O b j e c t K e y a n y T y p e z b w N T n L X > < a : K e y > < K e y > C o l u m n s \ M a t h e m a t i c s   -   I   C r e d i t < / K e y > < / a : K e y > < a : V a l u e   i : t y p e = " M e a s u r e G r i d N o d e V i e w S t a t e " > < C o l u m n > 6 < / C o l u m n > < L a y e d O u t > t r u e < / L a y e d O u t > < / a : V a l u e > < / a : K e y V a l u e O f D i a g r a m O b j e c t K e y a n y T y p e z b w N T n L X > < a : K e y V a l u e O f D i a g r a m O b j e c t K e y a n y T y p e z b w N T n L X > < a : K e y > < K e y > C o l u m n s \ M a t h e m a t i c s   -   I   ( T o t a l   G r a d e   +   C r e d i t ) < / K e y > < / a : K e y > < a : V a l u e   i : t y p e = " M e a s u r e G r i d N o d e V i e w S t a t e " > < C o l u m n > 7 < / C o l u m n > < L a y e d O u t > t r u e < / L a y e d O u t > < / a : V a l u e > < / a : K e y V a l u e O f D i a g r a m O b j e c t K e y a n y T y p e z b w N T n L X > < a : K e y V a l u e O f D i a g r a m O b j e c t K e y a n y T y p e z b w N T n L X > < a : K e y > < K e y > C o l u m n s \ C o m p u t e r   F u n d a m e n t a l s < / K e y > < / a : K e y > < a : V a l u e   i : t y p e = " M e a s u r e G r i d N o d e V i e w S t a t e " > < C o l u m n > 8 < / C o l u m n > < L a y e d O u t > t r u e < / L a y e d O u t > < / a : V a l u e > < / a : K e y V a l u e O f D i a g r a m O b j e c t K e y a n y T y p e z b w N T n L X > < a : K e y V a l u e O f D i a g r a m O b j e c t K e y a n y T y p e z b w N T n L X > < a : K e y > < K e y > C o l u m n s \ C o m p u t e r   F u n d a m e n t a l s   C r e d i t < / K e y > < / a : K e y > < a : V a l u e   i : t y p e = " M e a s u r e G r i d N o d e V i e w S t a t e " > < C o l u m n > 9 < / C o l u m n > < L a y e d O u t > t r u e < / L a y e d O u t > < / a : V a l u e > < / a : K e y V a l u e O f D i a g r a m O b j e c t K e y a n y T y p e z b w N T n L X > < a : K e y V a l u e O f D i a g r a m O b j e c t K e y a n y T y p e z b w N T n L X > < a : K e y > < K e y > C o l u m n s \ C o m p u t e r   F u n d a m e n t a l s   ( T o t a l   G r a d e   +   C r e d i t ) < / K e y > < / a : K e y > < a : V a l u e   i : t y p e = " M e a s u r e G r i d N o d e V i e w S t a t e " > < C o l u m n > 1 0 < / C o l u m n > < L a y e d O u t > t r u e < / L a y e d O u t > < / a : V a l u e > < / a : K e y V a l u e O f D i a g r a m O b j e c t K e y a n y T y p e z b w N T n L X > < a : K e y V a l u e O f D i a g r a m O b j e c t K e y a n y T y p e z b w N T n L X > < a : K e y > < K e y > C o l u m n s \ I n f o r m a t i o n   S y s t e m s   E n g i n e e r i n g < / K e y > < / a : K e y > < a : V a l u e   i : t y p e = " M e a s u r e G r i d N o d e V i e w S t a t e " > < C o l u m n > 1 1 < / C o l u m n > < L a y e d O u t > t r u e < / L a y e d O u t > < / a : V a l u e > < / a : K e y V a l u e O f D i a g r a m O b j e c t K e y a n y T y p e z b w N T n L X > < a : K e y V a l u e O f D i a g r a m O b j e c t K e y a n y T y p e z b w N T n L X > < a : K e y > < K e y > C o l u m n s \ I n f o r m a t i o n   S y s t e m s   E n g i n e e r i n g   C r e d i t < / K e y > < / a : K e y > < a : V a l u e   i : t y p e = " M e a s u r e G r i d N o d e V i e w S t a t e " > < C o l u m n > 1 2 < / C o l u m n > < L a y e d O u t > t r u e < / L a y e d O u t > < / a : V a l u e > < / a : K e y V a l u e O f D i a g r a m O b j e c t K e y a n y T y p e z b w N T n L X > < a : K e y V a l u e O f D i a g r a m O b j e c t K e y a n y T y p e z b w N T n L X > < a : K e y > < K e y > C o l u m n s \ I n f o r m a t i o n   S y s t e m s   E n g i n e e r i n g   ( T o t a l   G r a d e   +   C r e d i t ) < / K e y > < / a : K e y > < a : V a l u e   i : t y p e = " M e a s u r e G r i d N o d e V i e w S t a t e " > < C o l u m n > 1 3 < / C o l u m n > < L a y e d O u t > t r u e < / L a y e d O u t > < / a : V a l u e > < / a : K e y V a l u e O f D i a g r a m O b j e c t K e y a n y T y p e z b w N T n L X > < a : K e y V a l u e O f D i a g r a m O b j e c t K e y a n y T y p e z b w N T n L X > < a : K e y > < K e y > C o l u m n s \ T o t a l   S u b j e c t   C r e d i t < / K e y > < / a : K e y > < a : V a l u e   i : t y p e = " M e a s u r e G r i d N o d e V i e w S t a t e " > < C o l u m n > 1 4 < / C o l u m n > < L a y e d O u t > t r u e < / L a y e d O u t > < / a : V a l u e > < / a : K e y V a l u e O f D i a g r a m O b j e c t K e y a n y T y p e z b w N T n L X > < a : K e y V a l u e O f D i a g r a m O b j e c t K e y a n y T y p e z b w N T n L X > < a : K e y > < K e y > C o l u m n s \ 1 s t   S e m e s t e r   C G P A < / K e y > < / a : K e y > < a : V a l u e   i : t y p e = " M e a s u r e G r i d N o d e V i e w S t a t e " > < C o l u m n > 1 5 < / C o l u m n > < L a y e d O u t > t r u e < / L a y e d O u t > < / a : V a l u e > < / a : K e y V a l u e O f D i a g r a m O b j e c t K e y a n y T y p e z b w N T n L X > < a : K e y V a l u e O f D i a g r a m O b j e c t K e y a n y T y p e z b w N T n L X > < a : K e y > < K e y > C o l u m n s \ R e m a r k s < / K e y > < / a : K e y > < a : V a l u e   i : t y p e = " M e a s u r e G r i d N o d e V i e w S t a t e " > < C o l u m n > 1 6 < / C o l u m n > < L a y e d O u t > t r u e < / L a y e d O u t > < / a : V a l u e > < / a : K e y V a l u e O f D i a g r a m O b j e c t K e y a n y T y p e z b w N T n L X > < / V i e w S t a t e s > < / D i a g r a m M a n a g e r . S e r i a l i z a b l e D i a g r a m > < D i a g r a m M a n a g e r . S e r i a l i z a b l e D i a g r a m > < A d a p t e r   i : t y p e = " M e a s u r e D i a g r a m S a n d b o x A d a p t e r " > < T a b l e N a m e > F i r s t _ S e m e s t e r _ C o m p u t e r _ F u n d a m e n t a l s 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 F i r s t _ S e m e s t e r _ C o m p u t e r _ F u n d a m e n t a l s 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 C o l u m n s \ A s s i g n m e n t < / K e y > < / D i a g r a m O b j e c t K e y > < D i a g r a m O b j e c t K e y > < K e y > C o l u m n s \ P r e s e n t a t i o n < / K e y > < / D i a g r a m O b j e c t K e y > < D i a g r a m O b j e c t K e y > < K e y > C o l u m n s \ A t t e n d a n c e < / K e y > < / D i a g r a m O b j e c t K e y > < D i a g r a m O b j e c t K e y > < K e y > C o l u m n s \ T o t a l   o u t   o f   A P A < / K e y > < / D i a g r a m O b j e c t K e y > < D i a g r a m O b j e c t K e y > < K e y > C o l u m n s \ R o u n d   o f   A P A < / K e y > < / D i a g r a m O b j e c t K e y > < D i a g r a m O b j e c t K e y > < K e y > C o l u m n s \ M i d t e r m < / K e y > < / D i a g r a m O b j e c t K e y > < D i a g r a m O b j e c t K e y > < K e y > C o l u m n s \ F i n a l < / K e y > < / D i a g r a m O b j e c t K e y > < D i a g r a m O b j e c t K e y > < K e y > C o l u m n s \ M i d   & a m p ;   F i n a l < / K e y > < / D i a g r a m O b j e c t K e y > < D i a g r a m O b j e c t K e y > < K e y > C o l u m n s \ R o u n d   o f   M 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 C o l u m n s \ A s s i g n m e n t < / K e y > < / a : K e y > < a : V a l u e   i : t y p e = " M e a s u r e G r i d N o d e V i e w S t a t e " > < C o l u m n > 7 < / C o l u m n > < L a y e d O u t > t r u e < / L a y e d O u t > < / a : V a l u e > < / a : K e y V a l u e O f D i a g r a m O b j e c t K e y a n y T y p e z b w N T n L X > < a : K e y V a l u e O f D i a g r a m O b j e c t K e y a n y T y p e z b w N T n L X > < a : K e y > < K e y > C o l u m n s \ P r e s e n t a t i o n < / K e y > < / a : K e y > < a : V a l u e   i : t y p e = " M e a s u r e G r i d N o d e V i e w S t a t e " > < C o l u m n > 8 < / C o l u m n > < L a y e d O u t > t r u e < / L a y e d O u t > < / a : V a l u e > < / a : K e y V a l u e O f D i a g r a m O b j e c t K e y a n y T y p e z b w N T n L X > < a : K e y V a l u e O f D i a g r a m O b j e c t K e y a n y T y p e z b w N T n L X > < a : K e y > < K e y > C o l u m n s \ A t t e n d a n c e < / K e y > < / a : K e y > < a : V a l u e   i : t y p e = " M e a s u r e G r i d N o d e V i e w S t a t e " > < C o l u m n > 9 < / C o l u m n > < L a y e d O u t > t r u e < / L a y e d O u t > < / a : V a l u e > < / a : K e y V a l u e O f D i a g r a m O b j e c t K e y a n y T y p e z b w N T n L X > < a : K e y V a l u e O f D i a g r a m O b j e c t K e y a n y T y p e z b w N T n L X > < a : K e y > < K e y > C o l u m n s \ T o t a l   o u t   o f   A P A < / K e y > < / a : K e y > < a : V a l u e   i : t y p e = " M e a s u r e G r i d N o d e V i e w S t a t e " > < C o l u m n > 1 0 < / C o l u m n > < L a y e d O u t > t r u e < / L a y e d O u t > < / a : V a l u e > < / a : K e y V a l u e O f D i a g r a m O b j e c t K e y a n y T y p e z b w N T n L X > < a : K e y V a l u e O f D i a g r a m O b j e c t K e y a n y T y p e z b w N T n L X > < a : K e y > < K e y > C o l u m n s \ R o u n d   o f   A P A < / K e y > < / a : K e y > < a : V a l u e   i : t y p e = " M e a s u r e G r i d N o d e V i e w S t a t e " > < C o l u m n > 1 1 < / C o l u m n > < L a y e d O u t > t r u e < / L a y e d O u t > < / a : V a l u e > < / a : K e y V a l u e O f D i a g r a m O b j e c t K e y a n y T y p e z b w N T n L X > < a : K e y V a l u e O f D i a g r a m O b j e c t K e y a n y T y p e z b w N T n L X > < a : K e y > < K e y > C o l u m n s \ M i d t e r m < / K e y > < / a : K e y > < a : V a l u e   i : t y p e = " M e a s u r e G r i d N o d e V i e w S t a t e " > < C o l u m n > 1 2 < / C o l u m n > < L a y e d O u t > t r u e < / L a y e d O u t > < / a : V a l u e > < / a : K e y V a l u e O f D i a g r a m O b j e c t K e y a n y T y p e z b w N T n L X > < a : K e y V a l u e O f D i a g r a m O b j e c t K e y a n y T y p e z b w N T n L X > < a : K e y > < K e y > C o l u m n s \ F i n a l < / K e y > < / a : K e y > < a : V a l u e   i : t y p e = " M e a s u r e G r i d N o d e V i e w S t a t e " > < C o l u m n > 1 3 < / C o l u m n > < L a y e d O u t > t r u e < / L a y e d O u t > < / a : V a l u e > < / a : K e y V a l u e O f D i a g r a m O b j e c t K e y a n y T y p e z b w N T n L X > < a : K e y V a l u e O f D i a g r a m O b j e c t K e y a n y T y p e z b w N T n L X > < a : K e y > < K e y > C o l u m n s \ M i d   & a m p ;   F i n a l < / K e y > < / a : K e y > < a : V a l u e   i : t y p e = " M e a s u r e G r i d N o d e V i e w S t a t e " > < C o l u m n > 1 4 < / C o l u m n > < L a y e d O u t > t r u e < / L a y e d O u t > < / a : V a l u e > < / a : K e y V a l u e O f D i a g r a m O b j e c t K e y a n y T y p e z b w N T n L X > < a : K e y V a l u e O f D i a g r a m O b j e c t K e y a n y T y p e z b w N T n L X > < a : K e y > < K e y > C o l u m n s \ R o u n d   o f   M   & a m p ;   F < / K e y > < / a : K e y > < a : V a l u e   i : t y p e = " M e a s u r e G r i d N o d e V i e w S t a t e " > < C o l u m n > 1 5 < / C o l u m n > < L a y e d O u t > t r u e < / L a y e d O u t > < / a : V a l u e > < / a : K e y V a l u e O f D i a g r a m O b j e c t K e y a n y T y p e z b w N T n L X > < a : K e y V a l u e O f D i a g r a m O b j e c t K e y a n y T y p e z b w N T n L X > < a : K e y > < K e y > C o l u m n s \ T o t a l < / K e y > < / a : K e y > < a : V a l u e   i : t y p e = " M e a s u r e G r i d N o d e V i e w S t a t e " > < C o l u m n > 1 6 < / C o l u m n > < L a y e d O u t > t r u e < / L a y e d O u t > < / a : V a l u e > < / a : K e y V a l u e O f D i a g r a m O b j e c t K e y a n y T y p e z b w N T n L X > < a : K e y V a l u e O f D i a g r a m O b j e c t K e y a n y T y p e z b w N T n L X > < a : K e y > < K e y > C o l u m n s \ G r a d e   S c a l e < / K e y > < / a : K e y > < a : V a l u e   i : t y p e = " M e a s u r e G r i d N o d e V i e w S t a t e " > < C o l u m n > 1 7 < / C o l u m n > < L a y e d O u t > t r u e < / L a y e d O u t > < / a : V a l u e > < / a : K e y V a l u e O f D i a g r a m O b j e c t K e y a n y T y p e z b w N T n L X > < a : K e y V a l u e O f D i a g r a m O b j e c t K e y a n y T y p e z b w N T n L X > < a : K e y > < K e y > C o l u m n s \ G r a d e   P o i n t < / K e y > < / a : K e y > < a : V a l u e   i : t y p e = " M e a s u r e G r i d N o d e V i e w S t a t e " > < C o l u m n > 1 8 < / C o l u m n > < L a y e d O u t > t r u e < / L a y e d O u t > < / a : V a l u e > < / a : K e y V a l u e O f D i a g r a m O b j e c t K e y a n y T y p e z b w N T n L X > < a : K e y V a l u e O f D i a g r a m O b j e c t K e y a n y T y p e z b w N T n L X > < a : K e y > < K e y > C o l u m n s \ R e m a r k s < / K e y > < / a : K e y > < a : V a l u e   i : t y p e = " M e a s u r e G r i d N o d e V i e w S t a t e " > < C o l u m n > 1 9 < / C o l u m n > < L a y e d O u t > t r u e < / L a y e d O u t > < / a : V a l u e > < / a : K e y V a l u e O f D i a g r a m O b j e c t K e y a n y T y p e z b w N T n L X > < / V i e w S t a t e s > < / D i a g r a m M a n a g e r . S e r i a l i z a b l e D i a g r a m > < D i a g r a m M a n a g e r . S e r i a l i z a b l e D i a g r a m > < A d a p t e r   i : t y p e = " M e a s u r e D i a g r a m S a n d b o x A d a p t e r " > < T a b l e N a m e > F i r s t _ S e m e s t e r _ M a t h e m a t i c s 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 F i r s t _ S e m e s t e r _ M a t h e m a t i c s 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 C o l u m n s \ A s s i g n m e n t < / K e y > < / D i a g r a m O b j e c t K e y > < D i a g r a m O b j e c t K e y > < K e y > C o l u m n s \ P r e s e n t a t i o n < / K e y > < / D i a g r a m O b j e c t K e y > < D i a g r a m O b j e c t K e y > < K e y > C o l u m n s \ A t t e n d a n c e < / K e y > < / D i a g r a m O b j e c t K e y > < D i a g r a m O b j e c t K e y > < K e y > C o l u m n s \ T o t a l   o u t   o f   A P A < / K e y > < / D i a g r a m O b j e c t K e y > < D i a g r a m O b j e c t K e y > < K e y > C o l u m n s \ R o u n d   o f   A P A < / K e y > < / D i a g r a m O b j e c t K e y > < D i a g r a m O b j e c t K e y > < K e y > C o l u m n s \ M i d t e r m < / K e y > < / D i a g r a m O b j e c t K e y > < D i a g r a m O b j e c t K e y > < K e y > C o l u m n s \ F i n a l < / K e y > < / D i a g r a m O b j e c t K e y > < D i a g r a m O b j e c t K e y > < K e y > C o l u m n s \ M i d   & a m p ;   F i n a l < / K e y > < / D i a g r a m O b j e c t K e y > < D i a g r a m O b j e c t K e y > < K e y > C o l u m n s \ R o u n d   o f   M 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 C o l u m n s \ A s s i g n m e n t < / K e y > < / a : K e y > < a : V a l u e   i : t y p e = " M e a s u r e G r i d N o d e V i e w S t a t e " > < C o l u m n > 7 < / C o l u m n > < L a y e d O u t > t r u e < / L a y e d O u t > < / a : V a l u e > < / a : K e y V a l u e O f D i a g r a m O b j e c t K e y a n y T y p e z b w N T n L X > < a : K e y V a l u e O f D i a g r a m O b j e c t K e y a n y T y p e z b w N T n L X > < a : K e y > < K e y > C o l u m n s \ P r e s e n t a t i o n < / K e y > < / a : K e y > < a : V a l u e   i : t y p e = " M e a s u r e G r i d N o d e V i e w S t a t e " > < C o l u m n > 8 < / C o l u m n > < L a y e d O u t > t r u e < / L a y e d O u t > < / a : V a l u e > < / a : K e y V a l u e O f D i a g r a m O b j e c t K e y a n y T y p e z b w N T n L X > < a : K e y V a l u e O f D i a g r a m O b j e c t K e y a n y T y p e z b w N T n L X > < a : K e y > < K e y > C o l u m n s \ A t t e n d a n c e < / K e y > < / a : K e y > < a : V a l u e   i : t y p e = " M e a s u r e G r i d N o d e V i e w S t a t e " > < C o l u m n > 9 < / C o l u m n > < L a y e d O u t > t r u e < / L a y e d O u t > < / a : V a l u e > < / a : K e y V a l u e O f D i a g r a m O b j e c t K e y a n y T y p e z b w N T n L X > < a : K e y V a l u e O f D i a g r a m O b j e c t K e y a n y T y p e z b w N T n L X > < a : K e y > < K e y > C o l u m n s \ T o t a l   o u t   o f   A P A < / K e y > < / a : K e y > < a : V a l u e   i : t y p e = " M e a s u r e G r i d N o d e V i e w S t a t e " > < C o l u m n > 1 0 < / C o l u m n > < L a y e d O u t > t r u e < / L a y e d O u t > < / a : V a l u e > < / a : K e y V a l u e O f D i a g r a m O b j e c t K e y a n y T y p e z b w N T n L X > < a : K e y V a l u e O f D i a g r a m O b j e c t K e y a n y T y p e z b w N T n L X > < a : K e y > < K e y > C o l u m n s \ R o u n d   o f   A P A < / K e y > < / a : K e y > < a : V a l u e   i : t y p e = " M e a s u r e G r i d N o d e V i e w S t a t e " > < C o l u m n > 1 1 < / C o l u m n > < L a y e d O u t > t r u e < / L a y e d O u t > < / a : V a l u e > < / a : K e y V a l u e O f D i a g r a m O b j e c t K e y a n y T y p e z b w N T n L X > < a : K e y V a l u e O f D i a g r a m O b j e c t K e y a n y T y p e z b w N T n L X > < a : K e y > < K e y > C o l u m n s \ M i d t e r m < / K e y > < / a : K e y > < a : V a l u e   i : t y p e = " M e a s u r e G r i d N o d e V i e w S t a t e " > < C o l u m n > 1 2 < / C o l u m n > < L a y e d O u t > t r u e < / L a y e d O u t > < / a : V a l u e > < / a : K e y V a l u e O f D i a g r a m O b j e c t K e y a n y T y p e z b w N T n L X > < a : K e y V a l u e O f D i a g r a m O b j e c t K e y a n y T y p e z b w N T n L X > < a : K e y > < K e y > C o l u m n s \ F i n a l < / K e y > < / a : K e y > < a : V a l u e   i : t y p e = " M e a s u r e G r i d N o d e V i e w S t a t e " > < C o l u m n > 1 3 < / C o l u m n > < L a y e d O u t > t r u e < / L a y e d O u t > < / a : V a l u e > < / a : K e y V a l u e O f D i a g r a m O b j e c t K e y a n y T y p e z b w N T n L X > < a : K e y V a l u e O f D i a g r a m O b j e c t K e y a n y T y p e z b w N T n L X > < a : K e y > < K e y > C o l u m n s \ M i d   & a m p ;   F i n a l < / K e y > < / a : K e y > < a : V a l u e   i : t y p e = " M e a s u r e G r i d N o d e V i e w S t a t e " > < C o l u m n > 1 4 < / C o l u m n > < L a y e d O u t > t r u e < / L a y e d O u t > < / a : V a l u e > < / a : K e y V a l u e O f D i a g r a m O b j e c t K e y a n y T y p e z b w N T n L X > < a : K e y V a l u e O f D i a g r a m O b j e c t K e y a n y T y p e z b w N T n L X > < a : K e y > < K e y > C o l u m n s \ R o u n d   o f   M   & a m p ;   F < / K e y > < / a : K e y > < a : V a l u e   i : t y p e = " M e a s u r e G r i d N o d e V i e w S t a t e " > < C o l u m n > 1 5 < / C o l u m n > < L a y e d O u t > t r u e < / L a y e d O u t > < / a : V a l u e > < / a : K e y V a l u e O f D i a g r a m O b j e c t K e y a n y T y p e z b w N T n L X > < a : K e y V a l u e O f D i a g r a m O b j e c t K e y a n y T y p e z b w N T n L X > < a : K e y > < K e y > C o l u m n s \ T o t a l < / K e y > < / a : K e y > < a : V a l u e   i : t y p e = " M e a s u r e G r i d N o d e V i e w S t a t e " > < C o l u m n > 1 6 < / C o l u m n > < L a y e d O u t > t r u e < / L a y e d O u t > < / a : V a l u e > < / a : K e y V a l u e O f D i a g r a m O b j e c t K e y a n y T y p e z b w N T n L X > < a : K e y V a l u e O f D i a g r a m O b j e c t K e y a n y T y p e z b w N T n L X > < a : K e y > < K e y > C o l u m n s \ G r a d e   S c a l e < / K e y > < / a : K e y > < a : V a l u e   i : t y p e = " M e a s u r e G r i d N o d e V i e w S t a t e " > < C o l u m n > 1 7 < / C o l u m n > < L a y e d O u t > t r u e < / L a y e d O u t > < / a : V a l u e > < / a : K e y V a l u e O f D i a g r a m O b j e c t K e y a n y T y p e z b w N T n L X > < a : K e y V a l u e O f D i a g r a m O b j e c t K e y a n y T y p e z b w N T n L X > < a : K e y > < K e y > C o l u m n s \ G r a d e   P o i n t < / K e y > < / a : K e y > < a : V a l u e   i : t y p e = " M e a s u r e G r i d N o d e V i e w S t a t e " > < C o l u m n > 1 8 < / C o l u m n > < L a y e d O u t > t r u e < / L a y e d O u t > < / a : V a l u e > < / a : K e y V a l u e O f D i a g r a m O b j e c t K e y a n y T y p e z b w N T n L X > < a : K e y V a l u e O f D i a g r a m O b j e c t K e y a n y T y p e z b w N T n L X > < a : K e y > < K e y > C o l u m n s \ R e m a r k s < / K e y > < / a : K e y > < a : V a l u e   i : t y p e = " M e a s u r e G r i d N o d e V i e w S t a t e " > < C o l u m n > 1 9 < / C o l u m n > < L a y e d O u t > t r u e < / L a y e d O u t > < / a : V a l u e > < / a : K e y V a l u e O f D i a g r a m O b j e c t K e y a n y T y p e z b w N T n L X > < / V i e w S t a t e s > < / D i a g r a m M a n a g e r . S e r i a l i z a b l e D i a g r a m > < D i a g r a m M a n a g e r . S e r i a l i z a b l e D i a g r a m > < A d a p t e r   i : t y p e = " M e a s u r e D i a g r a m S a n d b o x A d a p t e r " > < T a b l e N a m e > S t u d e n t _ I n f o r m a t i o n < / 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 S t u d e n t _ I n f o r m a t i o n < / 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 C o l u m n s \ D e p a r t m e n t < / K e y > < / D i a g r a m O b j e c t K e y > < D i a g r a m O b j e c t K e y > < K e y > C o l u m n s \ F a c u l t y < / K e y > < / D i a g r a m O b j e c t K e y > < D i a g r a m O b j e c t K e y > < K e y > C o l u m n s \ C o n t a c t   N u m b e r < / K e y > < / D i a g r a m O b j e c t K e y > < D i a g r a m O b j e c t K e y > < K e y > C o l u m n s \ E m a i l   A d d r e s s < / K e y > < / D i a g r a m O b j e c t K e y > < D i a g r a m O b j e c t K e y > < K e y > C o l u m n s \ D a t e   o f   B i r t h < / 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 C o l u m n s \ D e p a r t m e n t < / K e y > < / a : K e y > < a : V a l u e   i : t y p e = " M e a s u r e G r i d N o d e V i e w S t a t e " > < C o l u m n > 2 < / C o l u m n > < L a y e d O u t > t r u e < / L a y e d O u t > < / a : V a l u e > < / a : K e y V a l u e O f D i a g r a m O b j e c t K e y a n y T y p e z b w N T n L X > < a : K e y V a l u e O f D i a g r a m O b j e c t K e y a n y T y p e z b w N T n L X > < a : K e y > < K e y > C o l u m n s \ F a c u l t y < / K e y > < / a : K e y > < a : V a l u e   i : t y p e = " M e a s u r e G r i d N o d e V i e w S t a t e " > < C o l u m n > 3 < / C o l u m n > < L a y e d O u t > t r u e < / L a y e d O u t > < / a : V a l u e > < / a : K e y V a l u e O f D i a g r a m O b j e c t K e y a n y T y p e z b w N T n L X > < a : K e y V a l u e O f D i a g r a m O b j e c t K e y a n y T y p e z b w N T n L X > < a : K e y > < K e y > C o l u m n s \ C o n t a c t   N u m b e r < / K e y > < / a : K e y > < a : V a l u e   i : t y p e = " M e a s u r e G r i d N o d e V i e w S t a t e " > < C o l u m n > 4 < / C o l u m n > < L a y e d O u t > t r u e < / L a y e d O u t > < / a : V a l u e > < / a : K e y V a l u e O f D i a g r a m O b j e c t K e y a n y T y p e z b w N T n L X > < a : K e y V a l u e O f D i a g r a m O b j e c t K e y a n y T y p e z b w N T n L X > < a : K e y > < K e y > C o l u m n s \ E m a i l   A d d r e s s < / K e y > < / a : K e y > < a : V a l u e   i : t y p e = " M e a s u r e G r i d N o d e V i e w S t a t e " > < C o l u m n > 5 < / C o l u m n > < L a y e d O u t > t r u e < / L a y e d O u t > < / a : V a l u e > < / a : K e y V a l u e O f D i a g r a m O b j e c t K e y a n y T y p e z b w N T n L X > < a : K e y V a l u e O f D i a g r a m O b j e c t K e y a n y T y p e z b w N T n L X > < a : K e y > < K e y > C o l u m n s \ D a t e   o f   B i r t h < / K e y > < / a : K e y > < a : V a l u e   i : t y p e = " M e a s u r e G r i d N o d e V i e w S t a t e " > < C o l u m n > 6 < / C o l u m n > < L a y e d O u t > t r u e < / L a y e d O u t > < / a : V a l u e > < / a : K e y V a l u e O f D i a g r a m O b j e c t K e y a n y T y p e z b w N T n L X > < / V i e w S t a t e s > < / D i a g r a m M a n a g e r . S e r i a l i z a b l e D i a g r a m > < D i a g r a m M a n a g e r . S e r i a l i z a b l e D i a g r a m > < A d a p t e r   i : t y p e = " M e a s u r e D i a g r a m S a n d b o x A d a p t e r " > < T a b l e N a m e > F i r s t _ S e m e s t e r _ I n f o r m a t i o n _ S y s t e m s _ E n g i n e e r i n g 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 F i r s t _ S e m e s t e r _ I n f o r m a t i o n _ S y s t e m s _ E n g i n e e r i n g 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 C o l u m n s \ A t t e n d a n c e < / K e y > < / D i a g r a m O b j e c t K e y > < D i a g r a m O b j e c t K e y > < K e y > C o l u m n s \ A s s i g n m e n t < / K e y > < / D i a g r a m O b j e c t K e y > < D i a g r a m O b j e c t K e y > < K e y > C o l u m n s \ F i n a l < / K e y > < / D i a g r a m O b j e c t K e y > < D i a g r a m O b j e c t K e y > < K e y > C o l u m n s \ A s s   & a m p ;   F i n a l < / K e y > < / D i a g r a m O b j e c t K e y > < D i a g r a m O b j e c t K e y > < K e y > C o l u m n s \ R o u n d   o f   A 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 C o l u m n s \ A t t e n d a n c e < / K e y > < / a : K e y > < a : V a l u e   i : t y p e = " M e a s u r e G r i d N o d e V i e w S t a t e " > < C o l u m n > 7 < / C o l u m n > < L a y e d O u t > t r u e < / L a y e d O u t > < / a : V a l u e > < / a : K e y V a l u e O f D i a g r a m O b j e c t K e y a n y T y p e z b w N T n L X > < a : K e y V a l u e O f D i a g r a m O b j e c t K e y a n y T y p e z b w N T n L X > < a : K e y > < K e y > C o l u m n s \ A s s i g n m e n t < / K e y > < / a : K e y > < a : V a l u e   i : t y p e = " M e a s u r e G r i d N o d e V i e w S t a t e " > < C o l u m n > 8 < / C o l u m n > < L a y e d O u t > t r u e < / L a y e d O u t > < / a : V a l u e > < / a : K e y V a l u e O f D i a g r a m O b j e c t K e y a n y T y p e z b w N T n L X > < a : K e y V a l u e O f D i a g r a m O b j e c t K e y a n y T y p e z b w N T n L X > < a : K e y > < K e y > C o l u m n s \ F i n a l < / K e y > < / a : K e y > < a : V a l u e   i : t y p e = " M e a s u r e G r i d N o d e V i e w S t a t e " > < C o l u m n > 9 < / C o l u m n > < L a y e d O u t > t r u e < / L a y e d O u t > < / a : V a l u e > < / a : K e y V a l u e O f D i a g r a m O b j e c t K e y a n y T y p e z b w N T n L X > < a : K e y V a l u e O f D i a g r a m O b j e c t K e y a n y T y p e z b w N T n L X > < a : K e y > < K e y > C o l u m n s \ A s s   & a m p ;   F i n a l < / K e y > < / a : K e y > < a : V a l u e   i : t y p e = " M e a s u r e G r i d N o d e V i e w S t a t e " > < C o l u m n > 1 0 < / C o l u m n > < L a y e d O u t > t r u e < / L a y e d O u t > < / a : V a l u e > < / a : K e y V a l u e O f D i a g r a m O b j e c t K e y a n y T y p e z b w N T n L X > < a : K e y V a l u e O f D i a g r a m O b j e c t K e y a n y T y p e z b w N T n L X > < a : K e y > < K e y > C o l u m n s \ R o u n d   o f   A   & a m p ;   F < / K e y > < / a : K e y > < a : V a l u e   i : t y p e = " M e a s u r e G r i d N o d e V i e w S t a t e " > < C o l u m n > 1 1 < / C o l u m n > < L a y e d O u t > t r u e < / L a y e d O u t > < / a : V a l u e > < / a : K e y V a l u e O f D i a g r a m O b j e c t K e y a n y T y p e z b w N T n L X > < a : K e y V a l u e O f D i a g r a m O b j e c t K e y a n y T y p e z b w N T n L X > < a : K e y > < K e y > C o l u m n s \ T o t a l < / K e y > < / a : K e y > < a : V a l u e   i : t y p e = " M e a s u r e G r i d N o d e V i e w S t a t e " > < C o l u m n > 1 2 < / C o l u m n > < L a y e d O u t > t r u e < / L a y e d O u t > < / a : V a l u e > < / a : K e y V a l u e O f D i a g r a m O b j e c t K e y a n y T y p e z b w N T n L X > < a : K e y V a l u e O f D i a g r a m O b j e c t K e y a n y T y p e z b w N T n L X > < a : K e y > < K e y > C o l u m n s \ G r a d e   S c a l e < / K e y > < / a : K e y > < a : V a l u e   i : t y p e = " M e a s u r e G r i d N o d e V i e w S t a t e " > < C o l u m n > 1 3 < / C o l u m n > < L a y e d O u t > t r u e < / L a y e d O u t > < / a : V a l u e > < / a : K e y V a l u e O f D i a g r a m O b j e c t K e y a n y T y p e z b w N T n L X > < a : K e y V a l u e O f D i a g r a m O b j e c t K e y a n y T y p e z b w N T n L X > < a : K e y > < K e y > C o l u m n s \ G r a d e   P o i n t < / K e y > < / a : K e y > < a : V a l u e   i : t y p e = " M e a s u r e G r i d N o d e V i e w S t a t e " > < C o l u m n > 1 4 < / C o l u m n > < L a y e d O u t > t r u e < / L a y e d O u t > < / a : V a l u e > < / a : K e y V a l u e O f D i a g r a m O b j e c t K e y a n y T y p e z b w N T n L X > < a : K e y V a l u e O f D i a g r a m O b j e c t K e y a n y T y p e z b w N T n L X > < a : K e y > < K e y > C o l u m n s \ R e m a r k s < / K e y > < / a : K e y > < a : V a l u e   i : t y p e = " M e a s u r e G r i d N o d e V i e w S t a t e " > < C o l u m n > 1 5 < / C o l u m n > < L a y e d O u t > t r u e < / L a y e d O u t > < / a : V a l u e > < / a : K e y V a l u e O f D i a g r a m O b j e c t K e y a n y T y p e z b w N T n L X > < / V i e w S t a t e s > < / D i a g r a m M a n a g e r . S e r i a l i z a b l e D i a g r a m > < D i a g r a m M a n a g e r . S e r i a l i z a b l e D i a g r a m > < A d a p t e r   i : t y p e = " M e a s u r e D i a g r a m S a n d b o x A d a p t e r " > < T a b l e N a m e > F i r s t _ S e m e s t e r _ E n g l i s h _ I 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 F i r s t _ S e m e s t e r _ E n g l i s h _ I 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 C o l u m n s \ A s s i g n m e n t < / K e y > < / D i a g r a m O b j e c t K e y > < D i a g r a m O b j e c t K e y > < K e y > C o l u m n s \ P r e s e n t a t i o n < / K e y > < / D i a g r a m O b j e c t K e y > < D i a g r a m O b j e c t K e y > < K e y > C o l u m n s \ A t t e n d a n c e < / K e y > < / D i a g r a m O b j e c t K e y > < D i a g r a m O b j e c t K e y > < K e y > C o l u m n s \ T o t a l   o u t   o f   A P A < / K e y > < / D i a g r a m O b j e c t K e y > < D i a g r a m O b j e c t K e y > < K e y > C o l u m n s \ R o u n d   o f   A P A < / K e y > < / D i a g r a m O b j e c t K e y > < D i a g r a m O b j e c t K e y > < K e y > C o l u m n s \ M i d t e r m < / K e y > < / D i a g r a m O b j e c t K e y > < D i a g r a m O b j e c t K e y > < K e y > C o l u m n s \ F i n a l < / K e y > < / D i a g r a m O b j e c t K e y > < D i a g r a m O b j e c t K e y > < K e y > C o l u m n s \ M i d   & a m p ;   F i n a l < / K e y > < / D i a g r a m O b j e c t K e y > < D i a g r a m O b j e c t K e y > < K e y > C o l u m n s \ R o u n d   o f   M 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 9 < / F o c u s C o l u m n > < F o c u s R o w > 3 < / F o c u s R o w > < S e l e c t i o n E n d C o l u m n > 9 < / S e l e c t i o n E n d C o l u m n > < S e l e c t i o n E n d R o w > 3 < / S e l e c t i o n E n d R o w > < S e l e c t i o n S t a r t C o l u m n > 9 < / 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 C o l u m n s \ A s s i g n m e n t < / K e y > < / a : K e y > < a : V a l u e   i : t y p e = " M e a s u r e G r i d N o d e V i e w S t a t e " > < C o l u m n > 7 < / C o l u m n > < L a y e d O u t > t r u e < / L a y e d O u t > < / a : V a l u e > < / a : K e y V a l u e O f D i a g r a m O b j e c t K e y a n y T y p e z b w N T n L X > < a : K e y V a l u e O f D i a g r a m O b j e c t K e y a n y T y p e z b w N T n L X > < a : K e y > < K e y > C o l u m n s \ P r e s e n t a t i o n < / K e y > < / a : K e y > < a : V a l u e   i : t y p e = " M e a s u r e G r i d N o d e V i e w S t a t e " > < C o l u m n > 8 < / C o l u m n > < L a y e d O u t > t r u e < / L a y e d O u t > < / a : V a l u e > < / a : K e y V a l u e O f D i a g r a m O b j e c t K e y a n y T y p e z b w N T n L X > < a : K e y V a l u e O f D i a g r a m O b j e c t K e y a n y T y p e z b w N T n L X > < a : K e y > < K e y > C o l u m n s \ A t t e n d a n c e < / K e y > < / a : K e y > < a : V a l u e   i : t y p e = " M e a s u r e G r i d N o d e V i e w S t a t e " > < C o l u m n > 9 < / C o l u m n > < L a y e d O u t > t r u e < / L a y e d O u t > < / a : V a l u e > < / a : K e y V a l u e O f D i a g r a m O b j e c t K e y a n y T y p e z b w N T n L X > < a : K e y V a l u e O f D i a g r a m O b j e c t K e y a n y T y p e z b w N T n L X > < a : K e y > < K e y > C o l u m n s \ T o t a l   o u t   o f   A P A < / K e y > < / a : K e y > < a : V a l u e   i : t y p e = " M e a s u r e G r i d N o d e V i e w S t a t e " > < C o l u m n > 1 0 < / C o l u m n > < L a y e d O u t > t r u e < / L a y e d O u t > < / a : V a l u e > < / a : K e y V a l u e O f D i a g r a m O b j e c t K e y a n y T y p e z b w N T n L X > < a : K e y V a l u e O f D i a g r a m O b j e c t K e y a n y T y p e z b w N T n L X > < a : K e y > < K e y > C o l u m n s \ R o u n d   o f   A P A < / K e y > < / a : K e y > < a : V a l u e   i : t y p e = " M e a s u r e G r i d N o d e V i e w S t a t e " > < C o l u m n > 1 1 < / C o l u m n > < L a y e d O u t > t r u e < / L a y e d O u t > < / a : V a l u e > < / a : K e y V a l u e O f D i a g r a m O b j e c t K e y a n y T y p e z b w N T n L X > < a : K e y V a l u e O f D i a g r a m O b j e c t K e y a n y T y p e z b w N T n L X > < a : K e y > < K e y > C o l u m n s \ M i d t e r m < / K e y > < / a : K e y > < a : V a l u e   i : t y p e = " M e a s u r e G r i d N o d e V i e w S t a t e " > < C o l u m n > 1 2 < / C o l u m n > < L a y e d O u t > t r u e < / L a y e d O u t > < / a : V a l u e > < / a : K e y V a l u e O f D i a g r a m O b j e c t K e y a n y T y p e z b w N T n L X > < a : K e y V a l u e O f D i a g r a m O b j e c t K e y a n y T y p e z b w N T n L X > < a : K e y > < K e y > C o l u m n s \ F i n a l < / K e y > < / a : K e y > < a : V a l u e   i : t y p e = " M e a s u r e G r i d N o d e V i e w S t a t e " > < C o l u m n > 1 3 < / C o l u m n > < L a y e d O u t > t r u e < / L a y e d O u t > < / a : V a l u e > < / a : K e y V a l u e O f D i a g r a m O b j e c t K e y a n y T y p e z b w N T n L X > < a : K e y V a l u e O f D i a g r a m O b j e c t K e y a n y T y p e z b w N T n L X > < a : K e y > < K e y > C o l u m n s \ M i d   & a m p ;   F i n a l < / K e y > < / a : K e y > < a : V a l u e   i : t y p e = " M e a s u r e G r i d N o d e V i e w S t a t e " > < C o l u m n > 1 4 < / C o l u m n > < L a y e d O u t > t r u e < / L a y e d O u t > < / a : V a l u e > < / a : K e y V a l u e O f D i a g r a m O b j e c t K e y a n y T y p e z b w N T n L X > < a : K e y V a l u e O f D i a g r a m O b j e c t K e y a n y T y p e z b w N T n L X > < a : K e y > < K e y > C o l u m n s \ R o u n d   o f   M   & a m p ;   F < / K e y > < / a : K e y > < a : V a l u e   i : t y p e = " M e a s u r e G r i d N o d e V i e w S t a t e " > < C o l u m n > 1 5 < / C o l u m n > < L a y e d O u t > t r u e < / L a y e d O u t > < / a : V a l u e > < / a : K e y V a l u e O f D i a g r a m O b j e c t K e y a n y T y p e z b w N T n L X > < a : K e y V a l u e O f D i a g r a m O b j e c t K e y a n y T y p e z b w N T n L X > < a : K e y > < K e y > C o l u m n s \ T o t a l < / K e y > < / a : K e y > < a : V a l u e   i : t y p e = " M e a s u r e G r i d N o d e V i e w S t a t e " > < C o l u m n > 1 6 < / C o l u m n > < L a y e d O u t > t r u e < / L a y e d O u t > < / a : V a l u e > < / a : K e y V a l u e O f D i a g r a m O b j e c t K e y a n y T y p e z b w N T n L X > < a : K e y V a l u e O f D i a g r a m O b j e c t K e y a n y T y p e z b w N T n L X > < a : K e y > < K e y > C o l u m n s \ G r a d e   S c a l e < / K e y > < / a : K e y > < a : V a l u e   i : t y p e = " M e a s u r e G r i d N o d e V i e w S t a t e " > < C o l u m n > 1 7 < / C o l u m n > < L a y e d O u t > t r u e < / L a y e d O u t > < / a : V a l u e > < / a : K e y V a l u e O f D i a g r a m O b j e c t K e y a n y T y p e z b w N T n L X > < a : K e y V a l u e O f D i a g r a m O b j e c t K e y a n y T y p e z b w N T n L X > < a : K e y > < K e y > C o l u m n s \ G r a d e   P o i n t < / K e y > < / a : K e y > < a : V a l u e   i : t y p e = " M e a s u r e G r i d N o d e V i e w S t a t e " > < C o l u m n > 1 8 < / C o l u m n > < L a y e d O u t > t r u e < / L a y e d O u t > < / a : V a l u e > < / a : K e y V a l u e O f D i a g r a m O b j e c t K e y a n y T y p e z b w N T n L X > < a : K e y V a l u e O f D i a g r a m O b j e c t K e y a n y T y p e z b w N T n L X > < a : K e y > < K e y > C o l u m n s \ R e m a r k s < / K e y > < / a : K e y > < a : V a l u e   i : t y p e = " M e a s u r e G r i d N o d e V i e w S t a t e " > < C o l u m n > 1 9 < / C o l u m n > < L a y e d O u t > t r u e < / L a y e d O u t > < / a : V a l u e > < / a : K e y V a l u e O f D i a g r a m O b j e c t K e y a n y T y p e z b w N T n L X > < / V i e w S t a t e s > < / D i a g r a m M a n a g e r . S e r i a l i z a b l e D i a g r a m > < D i a g r a m M a n a g e r . S e r i a l i z a b l e D i a g r a m > < A d a p t e r   i : t y p e = " M e a s u r e D i a g r a m S a n d b o x A d a p t e r " > < T a b l e N a m e > C o v e r _ P a g e 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 C o v e r _ P a g e 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 C o l u m n s \ C o l u m n 1 < / 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 C o l u m n s \ C o l u m n 1 < / K e y > < / a : K e y > < a : V a l u e   i : t y p e = " M e a s u r e G r i d N o d e V i e w S t a t e " > < L a y e d O u t > t r u e < / L a y e d O u t > < / a : V a l u e > < / a : K e y V a l u e O f D i a g r a m O b j e c t K e y a n y T y p e z b w N T n L X > < / V i e w S t a t e s > < / D i a g r a m M a n a g e r . S e r i a l i z a b l e D i a g r a m > < D i a g r a m M a n a g e r . S e r i a l i z a b l e D i a g r a m > < A d a p t e r   i : t y p e = " M e a s u r e D i a g r a m S a n d b o x A d a p t e r " > < T a b l e N a m e > E m p l o y e e _ C a l c u l a t e _ S a l a r y 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 E m p l o y e e _ C a l c u l a t e _ S a l a r y 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  I D < / K e y > < / D i a g r a m O b j e c t K e y > < D i a g r a m O b j e c t K e y > < K e y > C o l u m n s \ N a m e   o f   E m p l o y e e < / K e y > < / D i a g r a m O b j e c t K e y > < D i a g r a m O b j e c t K e y > < K e y > C o l u m n s \ E m p l o y e e   S a l a r y < / K e y > < / D i a g r a m O b j e c t K e y > < D i a g r a m O b j e c t K e y > < K e y > C o l u m n s \ H o u s e   R e n t < / K e y > < / D i a g r a m O b j e c t K e y > < D i a g r a m O b j e c t K e y > < K e y > C o l u m n s \ E m p l o y e e   S a l a r y   -   H o u s e   R e n t < / K e y > < / D i a g r a m O b j e c t K e y > < D i a g r a m O b j e c t K e y > < K e y > C o l u m n s \ S p e c i a l   A l l o w a n c e < / K e y > < / D i a g r a m O b j e c t K e y > < D i a g r a m O b j e c t K e y > < K e y > C o l u m n s \ E m p l o y e e   S a l a r y   -   S p e c i a l   A l l o w a n c e < / K e y > < / D i a g r a m O b j e c t K e y > < D i a g r a m O b j e c t K e y > < K e y > C o l u m n s \ H e a l t h   A s s u r a n c e < / K e y > < / D i a g r a m O b j e c t K e y > < D i a g r a m O b j e c t K e y > < K e y > C o l u m n s \ E m p l o y e e   S a l a r y   -   H e a l t h   A s s u r a n c e < / K e y > < / D i a g r a m O b j e c t K e y > < D i a g r a m O b j e c t K e y > < K e y > C o l u m n s \ P r o v i d e n t   F u n d < / K e y > < / D i a g r a m O b j e c t K e y > < D i a g r a m O b j e c t K e y > < K e y > C o l u m n s \ E m p l o y e e   S a l a r y   -   P r o v i d e n t   F u n d < / K e y > < / D i a g r a m O b j e c t K e y > < D i a g r a m O b j e c t K e y > < K e y > C o l u m n s \ I n c o m e   T a x < / K e y > < / D i a g r a m O b j e c t K e y > < D i a g r a m O b j e c t K e y > < K e y > C o l u m n s \ E m p l o y e e   S a l a r y   -   I n c o m e   T a x < / 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  I D < / K e y > < / a : K e y > < a : V a l u e   i : t y p e = " M e a s u r e G r i d N o d e V i e w S t a t e " > < L a y e d O u t > t r u e < / L a y e d O u t > < / a : V a l u e > < / a : K e y V a l u e O f D i a g r a m O b j e c t K e y a n y T y p e z b w N T n L X > < a : K e y V a l u e O f D i a g r a m O b j e c t K e y a n y T y p e z b w N T n L X > < a : K e y > < K e y > C o l u m n s \ N a m e   o f   E m p l o y e e < / K e y > < / a : K e y > < a : V a l u e   i : t y p e = " M e a s u r e G r i d N o d e V i e w S t a t e " > < C o l u m n > 1 < / C o l u m n > < L a y e d O u t > t r u e < / L a y e d O u t > < / a : V a l u e > < / a : K e y V a l u e O f D i a g r a m O b j e c t K e y a n y T y p e z b w N T n L X > < a : K e y V a l u e O f D i a g r a m O b j e c t K e y a n y T y p e z b w N T n L X > < a : K e y > < K e y > C o l u m n s \ E m p l o y e e   S a l a r y < / K e y > < / a : K e y > < a : V a l u e   i : t y p e = " M e a s u r e G r i d N o d e V i e w S t a t e " > < C o l u m n > 2 < / C o l u m n > < L a y e d O u t > t r u e < / L a y e d O u t > < / a : V a l u e > < / a : K e y V a l u e O f D i a g r a m O b j e c t K e y a n y T y p e z b w N T n L X > < a : K e y V a l u e O f D i a g r a m O b j e c t K e y a n y T y p e z b w N T n L X > < a : K e y > < K e y > C o l u m n s \ H o u s e   R e n t < / K e y > < / a : K e y > < a : V a l u e   i : t y p e = " M e a s u r e G r i d N o d e V i e w S t a t e " > < C o l u m n > 3 < / C o l u m n > < L a y e d O u t > t r u e < / L a y e d O u t > < / a : V a l u e > < / a : K e y V a l u e O f D i a g r a m O b j e c t K e y a n y T y p e z b w N T n L X > < a : K e y V a l u e O f D i a g r a m O b j e c t K e y a n y T y p e z b w N T n L X > < a : K e y > < K e y > C o l u m n s \ E m p l o y e e   S a l a r y   -   H o u s e   R e n t < / K e y > < / a : K e y > < a : V a l u e   i : t y p e = " M e a s u r e G r i d N o d e V i e w S t a t e " > < C o l u m n > 4 < / C o l u m n > < L a y e d O u t > t r u e < / L a y e d O u t > < / a : V a l u e > < / a : K e y V a l u e O f D i a g r a m O b j e c t K e y a n y T y p e z b w N T n L X > < a : K e y V a l u e O f D i a g r a m O b j e c t K e y a n y T y p e z b w N T n L X > < a : K e y > < K e y > C o l u m n s \ S p e c i a l   A l l o w a n c e < / K e y > < / a : K e y > < a : V a l u e   i : t y p e = " M e a s u r e G r i d N o d e V i e w S t a t e " > < C o l u m n > 5 < / C o l u m n > < L a y e d O u t > t r u e < / L a y e d O u t > < / a : V a l u e > < / a : K e y V a l u e O f D i a g r a m O b j e c t K e y a n y T y p e z b w N T n L X > < a : K e y V a l u e O f D i a g r a m O b j e c t K e y a n y T y p e z b w N T n L X > < a : K e y > < K e y > C o l u m n s \ E m p l o y e e   S a l a r y   -   S p e c i a l   A l l o w a n c e < / K e y > < / a : K e y > < a : V a l u e   i : t y p e = " M e a s u r e G r i d N o d e V i e w S t a t e " > < C o l u m n > 6 < / C o l u m n > < L a y e d O u t > t r u e < / L a y e d O u t > < / a : V a l u e > < / a : K e y V a l u e O f D i a g r a m O b j e c t K e y a n y T y p e z b w N T n L X > < a : K e y V a l u e O f D i a g r a m O b j e c t K e y a n y T y p e z b w N T n L X > < a : K e y > < K e y > C o l u m n s \ H e a l t h   A s s u r a n c e < / K e y > < / a : K e y > < a : V a l u e   i : t y p e = " M e a s u r e G r i d N o d e V i e w S t a t e " > < C o l u m n > 7 < / C o l u m n > < L a y e d O u t > t r u e < / L a y e d O u t > < / a : V a l u e > < / a : K e y V a l u e O f D i a g r a m O b j e c t K e y a n y T y p e z b w N T n L X > < a : K e y V a l u e O f D i a g r a m O b j e c t K e y a n y T y p e z b w N T n L X > < a : K e y > < K e y > C o l u m n s \ E m p l o y e e   S a l a r y   -   H e a l t h   A s s u r a n c e < / K e y > < / a : K e y > < a : V a l u e   i : t y p e = " M e a s u r e G r i d N o d e V i e w S t a t e " > < C o l u m n > 8 < / C o l u m n > < L a y e d O u t > t r u e < / L a y e d O u t > < / a : V a l u e > < / a : K e y V a l u e O f D i a g r a m O b j e c t K e y a n y T y p e z b w N T n L X > < a : K e y V a l u e O f D i a g r a m O b j e c t K e y a n y T y p e z b w N T n L X > < a : K e y > < K e y > C o l u m n s \ P r o v i d e n t   F u n d < / K e y > < / a : K e y > < a : V a l u e   i : t y p e = " M e a s u r e G r i d N o d e V i e w S t a t e " > < C o l u m n > 9 < / C o l u m n > < L a y e d O u t > t r u e < / L a y e d O u t > < / a : V a l u e > < / a : K e y V a l u e O f D i a g r a m O b j e c t K e y a n y T y p e z b w N T n L X > < a : K e y V a l u e O f D i a g r a m O b j e c t K e y a n y T y p e z b w N T n L X > < a : K e y > < K e y > C o l u m n s \ E m p l o y e e   S a l a r y   -   P r o v i d e n t   F u n d < / K e y > < / a : K e y > < a : V a l u e   i : t y p e = " M e a s u r e G r i d N o d e V i e w S t a t e " > < C o l u m n > 1 0 < / C o l u m n > < L a y e d O u t > t r u e < / L a y e d O u t > < / a : V a l u e > < / a : K e y V a l u e O f D i a g r a m O b j e c t K e y a n y T y p e z b w N T n L X > < a : K e y V a l u e O f D i a g r a m O b j e c t K e y a n y T y p e z b w N T n L X > < a : K e y > < K e y > C o l u m n s \ I n c o m e   T a x < / K e y > < / a : K e y > < a : V a l u e   i : t y p e = " M e a s u r e G r i d N o d e V i e w S t a t e " > < C o l u m n > 1 1 < / C o l u m n > < L a y e d O u t > t r u e < / L a y e d O u t > < / a : V a l u e > < / a : K e y V a l u e O f D i a g r a m O b j e c t K e y a n y T y p e z b w N T n L X > < a : K e y V a l u e O f D i a g r a m O b j e c t K e y a n y T y p e z b w N T n L X > < a : K e y > < K e y > C o l u m n s \ E m p l o y e e   S a l a r y   -   I n c o m e   T a x < / K e y > < / a : K e y > < a : V a l u e   i : t y p e = " M e a s u r e G r i d N o d e V i e w S t a t e " > < C o l u m n > 1 2 < / C o l u m n > < L a y e d O u t > t r u e < / L a y e d O u t > < / a : V a l u e > < / a : K e y V a l u e O f D i a g r a m O b j e c t K e y a n y T y p e z b w N T n L X > < / V i e w S t a t e s > < / D i a g r a m M a n a g e r . S e r i a l i z a b l e D i a g r a m > < D i a g r a m M a n a g e r . S e r i a l i z a b l e D i a g r a m > < A d a p t e r   i : t y p e = " M e a s u r e D i a g r a m S a n d b o x A d a p t e r " > < T a b l e N a m e > S e c o n d _ S e m e s t e r _ S G P A 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 S e c o n d _ S e m e s t e r _ S G P A 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 C o l u m n s \ E n g l i s h   L a n g u a g e   -   I I < / K e y > < / D i a g r a m O b j e c t K e y > < D i a g r a m O b j e c t K e y > < K e y > C o l u m n s \ E n g l i s h   L a n g u a g e   -   I I   C r e d i t < / K e y > < / D i a g r a m O b j e c t K e y > < D i a g r a m O b j e c t K e y > < K e y > C o l u m n s \ E n g l i s h   L a n g u a g e   -   I I   ( T o t a l   G r a d e   +   C r e d i t ) < / K e y > < / D i a g r a m O b j e c t K e y > < D i a g r a m O b j e c t K e y > < K e y > C o l u m n s \ S t r u c t u r e d   P r o g r a m m i n g < / K e y > < / D i a g r a m O b j e c t K e y > < D i a g r a m O b j e c t K e y > < K e y > C o l u m n s \ S t r u c t u r e d   P r o g r a m m i n g   C r e d i t < / K e y > < / D i a g r a m O b j e c t K e y > < D i a g r a m O b j e c t K e y > < K e y > C o l u m n s \ S t r u c t u r e d   P r o g r a m m i n g   ( T o t a l   G r a d e   +   C r e d i t ) < / K e y > < / D i a g r a m O b j e c t K e y > < D i a g r a m O b j e c t K e y > < K e y > C o l u m n s \ F u n d a m e n t a l   W e b s i t e   D e v e l o p m e n t < / K e y > < / D i a g r a m O b j e c t K e y > < D i a g r a m O b j e c t K e y > < K e y > C o l u m n s \ F u n d a m e n t a l   W e b s i t e   D e v e l o p m e n t   C r e d i t < / K e y > < / D i a g r a m O b j e c t K e y > < D i a g r a m O b j e c t K e y > < K e y > C o l u m n s \ F u n d a m e n t a l   W e b s i t e   D e v e l o p m e n t   ( T o t a l   G r a d e   +   C r e d i t ) < / K e y > < / D i a g r a m O b j e c t K e y > < D i a g r a m O b j e c t K e y > < K e y > C o l u m n s \ S t r u c t u r e d   P r o g r a m m i n g   L a b < / K e y > < / D i a g r a m O b j e c t K e y > < D i a g r a m O b j e c t K e y > < K e y > C o l u m n s \ S t r u c t u r e d   P r o g r a m m i n g   L a b   C r e d i t < / K e y > < / D i a g r a m O b j e c t K e y > < D i a g r a m O b j e c t K e y > < K e y > C o l u m n s \ S t r u c t u r e d   P r o g r a m m i n g   L a b   ( T o t a l   G r a d e   +   C r e d i t ) < / K e y > < / D i a g r a m O b j e c t K e y > < D i a g r a m O b j e c t K e y > < K e y > C o l u m n s \ F u n d a m e n t a l   W e b s i t e   D e v e l o p m e n t   L a b < / K e y > < / D i a g r a m O b j e c t K e y > < D i a g r a m O b j e c t K e y > < K e y > C o l u m n s \ F u n d a m e n t a l   W e b s i t e   D e v e l o p m e n t   L a b   C r e d i t < / K e y > < / D i a g r a m O b j e c t K e y > < D i a g r a m O b j e c t K e y > < K e y > C o l u m n s \ F u n d a m e n t a l   W e b s i t e   D e v e l o p m e n t   L a b   ( T o t a l   G r a d e   +   C r e d i t ) < / K e y > < / D i a g r a m O b j e c t K e y > < D i a g r a m O b j e c t K e y > < K e y > C o l u m n s \ T o t a l   S u b j e c t   C r e d i t < / K e y > < / D i a g r a m O b j e c t K e y > < D i a g r a m O b j e c t K e y > < K e y > C o l u m n s \ 2 n d   S e m e s t e r   ( S G P A ) 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 C o l u m n s \ E n g l i s h   L a n g u a g e   -   I I < / K e y > < / a : K e y > < a : V a l u e   i : t y p e = " M e a s u r e G r i d N o d e V i e w S t a t e " > < C o l u m n > 2 < / C o l u m n > < L a y e d O u t > t r u e < / L a y e d O u t > < / a : V a l u e > < / a : K e y V a l u e O f D i a g r a m O b j e c t K e y a n y T y p e z b w N T n L X > < a : K e y V a l u e O f D i a g r a m O b j e c t K e y a n y T y p e z b w N T n L X > < a : K e y > < K e y > C o l u m n s \ E n g l i s h   L a n g u a g e   -   I I   C r e d i t < / K e y > < / a : K e y > < a : V a l u e   i : t y p e = " M e a s u r e G r i d N o d e V i e w S t a t e " > < C o l u m n > 3 < / C o l u m n > < L a y e d O u t > t r u e < / L a y e d O u t > < / a : V a l u e > < / a : K e y V a l u e O f D i a g r a m O b j e c t K e y a n y T y p e z b w N T n L X > < a : K e y V a l u e O f D i a g r a m O b j e c t K e y a n y T y p e z b w N T n L X > < a : K e y > < K e y > C o l u m n s \ E n g l i s h   L a n g u a g e   -   I I   ( T o t a l   G r a d e   +   C r e d i t ) < / K e y > < / a : K e y > < a : V a l u e   i : t y p e = " M e a s u r e G r i d N o d e V i e w S t a t e " > < C o l u m n > 4 < / C o l u m n > < L a y e d O u t > t r u e < / L a y e d O u t > < / a : V a l u e > < / a : K e y V a l u e O f D i a g r a m O b j e c t K e y a n y T y p e z b w N T n L X > < a : K e y V a l u e O f D i a g r a m O b j e c t K e y a n y T y p e z b w N T n L X > < a : K e y > < K e y > C o l u m n s \ S t r u c t u r e d   P r o g r a m m i n g < / K e y > < / a : K e y > < a : V a l u e   i : t y p e = " M e a s u r e G r i d N o d e V i e w S t a t e " > < C o l u m n > 5 < / C o l u m n > < L a y e d O u t > t r u e < / L a y e d O u t > < / a : V a l u e > < / a : K e y V a l u e O f D i a g r a m O b j e c t K e y a n y T y p e z b w N T n L X > < a : K e y V a l u e O f D i a g r a m O b j e c t K e y a n y T y p e z b w N T n L X > < a : K e y > < K e y > C o l u m n s \ S t r u c t u r e d   P r o g r a m m i n g   C r e d i t < / K e y > < / a : K e y > < a : V a l u e   i : t y p e = " M e a s u r e G r i d N o d e V i e w S t a t e " > < C o l u m n > 6 < / C o l u m n > < L a y e d O u t > t r u e < / L a y e d O u t > < / a : V a l u e > < / a : K e y V a l u e O f D i a g r a m O b j e c t K e y a n y T y p e z b w N T n L X > < a : K e y V a l u e O f D i a g r a m O b j e c t K e y a n y T y p e z b w N T n L X > < a : K e y > < K e y > C o l u m n s \ S t r u c t u r e d   P r o g r a m m i n g   ( T o t a l   G r a d e   +   C r e d i t ) < / K e y > < / a : K e y > < a : V a l u e   i : t y p e = " M e a s u r e G r i d N o d e V i e w S t a t e " > < C o l u m n > 7 < / C o l u m n > < L a y e d O u t > t r u e < / L a y e d O u t > < / a : V a l u e > < / a : K e y V a l u e O f D i a g r a m O b j e c t K e y a n y T y p e z b w N T n L X > < a : K e y V a l u e O f D i a g r a m O b j e c t K e y a n y T y p e z b w N T n L X > < a : K e y > < K e y > C o l u m n s \ F u n d a m e n t a l   W e b s i t e   D e v e l o p m e n t < / K e y > < / a : K e y > < a : V a l u e   i : t y p e = " M e a s u r e G r i d N o d e V i e w S t a t e " > < C o l u m n > 8 < / C o l u m n > < L a y e d O u t > t r u e < / L a y e d O u t > < / a : V a l u e > < / a : K e y V a l u e O f D i a g r a m O b j e c t K e y a n y T y p e z b w N T n L X > < a : K e y V a l u e O f D i a g r a m O b j e c t K e y a n y T y p e z b w N T n L X > < a : K e y > < K e y > C o l u m n s \ F u n d a m e n t a l   W e b s i t e   D e v e l o p m e n t   C r e d i t < / K e y > < / a : K e y > < a : V a l u e   i : t y p e = " M e a s u r e G r i d N o d e V i e w S t a t e " > < C o l u m n > 9 < / C o l u m n > < L a y e d O u t > t r u e < / L a y e d O u t > < / a : V a l u e > < / a : K e y V a l u e O f D i a g r a m O b j e c t K e y a n y T y p e z b w N T n L X > < a : K e y V a l u e O f D i a g r a m O b j e c t K e y a n y T y p e z b w N T n L X > < a : K e y > < K e y > C o l u m n s \ F u n d a m e n t a l   W e b s i t e   D e v e l o p m e n t   ( T o t a l   G r a d e   +   C r e d i t ) < / K e y > < / a : K e y > < a : V a l u e   i : t y p e = " M e a s u r e G r i d N o d e V i e w S t a t e " > < C o l u m n > 1 0 < / C o l u m n > < L a y e d O u t > t r u e < / L a y e d O u t > < / a : V a l u e > < / a : K e y V a l u e O f D i a g r a m O b j e c t K e y a n y T y p e z b w N T n L X > < a : K e y V a l u e O f D i a g r a m O b j e c t K e y a n y T y p e z b w N T n L X > < a : K e y > < K e y > C o l u m n s \ S t r u c t u r e d   P r o g r a m m i n g   L a b < / K e y > < / a : K e y > < a : V a l u e   i : t y p e = " M e a s u r e G r i d N o d e V i e w S t a t e " > < C o l u m n > 1 1 < / C o l u m n > < L a y e d O u t > t r u e < / L a y e d O u t > < / a : V a l u e > < / a : K e y V a l u e O f D i a g r a m O b j e c t K e y a n y T y p e z b w N T n L X > < a : K e y V a l u e O f D i a g r a m O b j e c t K e y a n y T y p e z b w N T n L X > < a : K e y > < K e y > C o l u m n s \ S t r u c t u r e d   P r o g r a m m i n g   L a b   C r e d i t < / K e y > < / a : K e y > < a : V a l u e   i : t y p e = " M e a s u r e G r i d N o d e V i e w S t a t e " > < C o l u m n > 1 2 < / C o l u m n > < L a y e d O u t > t r u e < / L a y e d O u t > < / a : V a l u e > < / a : K e y V a l u e O f D i a g r a m O b j e c t K e y a n y T y p e z b w N T n L X > < a : K e y V a l u e O f D i a g r a m O b j e c t K e y a n y T y p e z b w N T n L X > < a : K e y > < K e y > C o l u m n s \ S t r u c t u r e d   P r o g r a m m i n g   L a b   ( T o t a l   G r a d e   +   C r e d i t ) < / K e y > < / a : K e y > < a : V a l u e   i : t y p e = " M e a s u r e G r i d N o d e V i e w S t a t e " > < C o l u m n > 1 3 < / C o l u m n > < L a y e d O u t > t r u e < / L a y e d O u t > < / a : V a l u e > < / a : K e y V a l u e O f D i a g r a m O b j e c t K e y a n y T y p e z b w N T n L X > < a : K e y V a l u e O f D i a g r a m O b j e c t K e y a n y T y p e z b w N T n L X > < a : K e y > < K e y > C o l u m n s \ F u n d a m e n t a l   W e b s i t e   D e v e l o p m e n t   L a b < / K e y > < / a : K e y > < a : V a l u e   i : t y p e = " M e a s u r e G r i d N o d e V i e w S t a t e " > < C o l u m n > 1 4 < / C o l u m n > < L a y e d O u t > t r u e < / L a y e d O u t > < / a : V a l u e > < / a : K e y V a l u e O f D i a g r a m O b j e c t K e y a n y T y p e z b w N T n L X > < a : K e y V a l u e O f D i a g r a m O b j e c t K e y a n y T y p e z b w N T n L X > < a : K e y > < K e y > C o l u m n s \ F u n d a m e n t a l   W e b s i t e   D e v e l o p m e n t   L a b   C r e d i t < / K e y > < / a : K e y > < a : V a l u e   i : t y p e = " M e a s u r e G r i d N o d e V i e w S t a t e " > < C o l u m n > 1 5 < / C o l u m n > < L a y e d O u t > t r u e < / L a y e d O u t > < / a : V a l u e > < / a : K e y V a l u e O f D i a g r a m O b j e c t K e y a n y T y p e z b w N T n L X > < a : K e y V a l u e O f D i a g r a m O b j e c t K e y a n y T y p e z b w N T n L X > < a : K e y > < K e y > C o l u m n s \ F u n d a m e n t a l   W e b s i t e   D e v e l o p m e n t   L a b   ( T o t a l   G r a d e   +   C r e d i t ) < / K e y > < / a : K e y > < a : V a l u e   i : t y p e = " M e a s u r e G r i d N o d e V i e w S t a t e " > < C o l u m n > 1 6 < / C o l u m n > < L a y e d O u t > t r u e < / L a y e d O u t > < / a : V a l u e > < / a : K e y V a l u e O f D i a g r a m O b j e c t K e y a n y T y p e z b w N T n L X > < a : K e y V a l u e O f D i a g r a m O b j e c t K e y a n y T y p e z b w N T n L X > < a : K e y > < K e y > C o l u m n s \ T o t a l   S u b j e c t   C r e d i t < / K e y > < / a : K e y > < a : V a l u e   i : t y p e = " M e a s u r e G r i d N o d e V i e w S t a t e " > < C o l u m n > 1 7 < / C o l u m n > < L a y e d O u t > t r u e < / L a y e d O u t > < / a : V a l u e > < / a : K e y V a l u e O f D i a g r a m O b j e c t K e y a n y T y p e z b w N T n L X > < a : K e y V a l u e O f D i a g r a m O b j e c t K e y a n y T y p e z b w N T n L X > < a : K e y > < K e y > C o l u m n s \ 2 n d   S e m e s t e r   ( S G P A ) < / K e y > < / a : K e y > < a : V a l u e   i : t y p e = " M e a s u r e G r i d N o d e V i e w S t a t e " > < C o l u m n > 1 8 < / C o l u m n > < L a y e d O u t > t r u e < / L a y e d O u t > < / a : V a l u e > < / a : K e y V a l u e O f D i a g r a m O b j e c t K e y a n y T y p e z b w N T n L X > < / V i e w S t a t e s > < / D i a g r a m M a n a g e r . S e r i a l i z a b l e D i a g r a m > < D i a g r a m M a n a g e r . S e r i a l i z a b l e D i a g r a m > < A d a p t e r   i : t y p e = " M e a s u r e D i a g r a m S a n d b o x A d a p t e r " > < T a b l e N a m e > S e c o n d _ S e m e s t e r _ E n g l i s h _ I I < / 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 S e c o n d _ S e m e s t e r _ E n g l i s h _ I I < / 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 C o l u m n s \ A s s i g n m e n t < / K e y > < / D i a g r a m O b j e c t K e y > < D i a g r a m O b j e c t K e y > < K e y > C o l u m n s \ P r e s e n t a t i o n < / K e y > < / D i a g r a m O b j e c t K e y > < D i a g r a m O b j e c t K e y > < K e y > C o l u m n s \ A t t e n d a n c e < / K e y > < / D i a g r a m O b j e c t K e y > < D i a g r a m O b j e c t K e y > < K e y > C o l u m n s \ T o t a l   o u t   o f   A P A < / K e y > < / D i a g r a m O b j e c t K e y > < D i a g r a m O b j e c t K e y > < K e y > C o l u m n s \ R o u n d   o f   A P A < / K e y > < / D i a g r a m O b j e c t K e y > < D i a g r a m O b j e c t K e y > < K e y > C o l u m n s \ M i d t e r m < / K e y > < / D i a g r a m O b j e c t K e y > < D i a g r a m O b j e c t K e y > < K e y > C o l u m n s \ F i n a l < / K e y > < / D i a g r a m O b j e c t K e y > < D i a g r a m O b j e c t K e y > < K e y > C o l u m n s \ M i d   & a m p ;   F i n a l < / K e y > < / D i a g r a m O b j e c t K e y > < D i a g r a m O b j e c t K e y > < K e y > C o l u m n s \ R o u n d   o f   M 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 C o l u m n s \ A s s i g n m e n t < / K e y > < / a : K e y > < a : V a l u e   i : t y p e = " M e a s u r e G r i d N o d e V i e w S t a t e " > < C o l u m n > 7 < / C o l u m n > < L a y e d O u t > t r u e < / L a y e d O u t > < / a : V a l u e > < / a : K e y V a l u e O f D i a g r a m O b j e c t K e y a n y T y p e z b w N T n L X > < a : K e y V a l u e O f D i a g r a m O b j e c t K e y a n y T y p e z b w N T n L X > < a : K e y > < K e y > C o l u m n s \ P r e s e n t a t i o n < / K e y > < / a : K e y > < a : V a l u e   i : t y p e = " M e a s u r e G r i d N o d e V i e w S t a t e " > < C o l u m n > 8 < / C o l u m n > < L a y e d O u t > t r u e < / L a y e d O u t > < / a : V a l u e > < / a : K e y V a l u e O f D i a g r a m O b j e c t K e y a n y T y p e z b w N T n L X > < a : K e y V a l u e O f D i a g r a m O b j e c t K e y a n y T y p e z b w N T n L X > < a : K e y > < K e y > C o l u m n s \ A t t e n d a n c e < / K e y > < / a : K e y > < a : V a l u e   i : t y p e = " M e a s u r e G r i d N o d e V i e w S t a t e " > < C o l u m n > 9 < / C o l u m n > < L a y e d O u t > t r u e < / L a y e d O u t > < / a : V a l u e > < / a : K e y V a l u e O f D i a g r a m O b j e c t K e y a n y T y p e z b w N T n L X > < a : K e y V a l u e O f D i a g r a m O b j e c t K e y a n y T y p e z b w N T n L X > < a : K e y > < K e y > C o l u m n s \ T o t a l   o u t   o f   A P A < / K e y > < / a : K e y > < a : V a l u e   i : t y p e = " M e a s u r e G r i d N o d e V i e w S t a t e " > < C o l u m n > 1 0 < / C o l u m n > < L a y e d O u t > t r u e < / L a y e d O u t > < / a : V a l u e > < / a : K e y V a l u e O f D i a g r a m O b j e c t K e y a n y T y p e z b w N T n L X > < a : K e y V a l u e O f D i a g r a m O b j e c t K e y a n y T y p e z b w N T n L X > < a : K e y > < K e y > C o l u m n s \ R o u n d   o f   A P A < / K e y > < / a : K e y > < a : V a l u e   i : t y p e = " M e a s u r e G r i d N o d e V i e w S t a t e " > < C o l u m n > 1 1 < / C o l u m n > < L a y e d O u t > t r u e < / L a y e d O u t > < / a : V a l u e > < / a : K e y V a l u e O f D i a g r a m O b j e c t K e y a n y T y p e z b w N T n L X > < a : K e y V a l u e O f D i a g r a m O b j e c t K e y a n y T y p e z b w N T n L X > < a : K e y > < K e y > C o l u m n s \ M i d t e r m < / K e y > < / a : K e y > < a : V a l u e   i : t y p e = " M e a s u r e G r i d N o d e V i e w S t a t e " > < C o l u m n > 1 2 < / C o l u m n > < L a y e d O u t > t r u e < / L a y e d O u t > < / a : V a l u e > < / a : K e y V a l u e O f D i a g r a m O b j e c t K e y a n y T y p e z b w N T n L X > < a : K e y V a l u e O f D i a g r a m O b j e c t K e y a n y T y p e z b w N T n L X > < a : K e y > < K e y > C o l u m n s \ F i n a l < / K e y > < / a : K e y > < a : V a l u e   i : t y p e = " M e a s u r e G r i d N o d e V i e w S t a t e " > < C o l u m n > 1 3 < / C o l u m n > < L a y e d O u t > t r u e < / L a y e d O u t > < / a : V a l u e > < / a : K e y V a l u e O f D i a g r a m O b j e c t K e y a n y T y p e z b w N T n L X > < a : K e y V a l u e O f D i a g r a m O b j e c t K e y a n y T y p e z b w N T n L X > < a : K e y > < K e y > C o l u m n s \ M i d   & a m p ;   F i n a l < / K e y > < / a : K e y > < a : V a l u e   i : t y p e = " M e a s u r e G r i d N o d e V i e w S t a t e " > < C o l u m n > 1 4 < / C o l u m n > < L a y e d O u t > t r u e < / L a y e d O u t > < / a : V a l u e > < / a : K e y V a l u e O f D i a g r a m O b j e c t K e y a n y T y p e z b w N T n L X > < a : K e y V a l u e O f D i a g r a m O b j e c t K e y a n y T y p e z b w N T n L X > < a : K e y > < K e y > C o l u m n s \ R o u n d   o f   M   & a m p ;   F < / K e y > < / a : K e y > < a : V a l u e   i : t y p e = " M e a s u r e G r i d N o d e V i e w S t a t e " > < C o l u m n > 1 5 < / C o l u m n > < L a y e d O u t > t r u e < / L a y e d O u t > < / a : V a l u e > < / a : K e y V a l u e O f D i a g r a m O b j e c t K e y a n y T y p e z b w N T n L X > < a : K e y V a l u e O f D i a g r a m O b j e c t K e y a n y T y p e z b w N T n L X > < a : K e y > < K e y > C o l u m n s \ T o t a l < / K e y > < / a : K e y > < a : V a l u e   i : t y p e = " M e a s u r e G r i d N o d e V i e w S t a t e " > < C o l u m n > 1 6 < / C o l u m n > < L a y e d O u t > t r u e < / L a y e d O u t > < / a : V a l u e > < / a : K e y V a l u e O f D i a g r a m O b j e c t K e y a n y T y p e z b w N T n L X > < a : K e y V a l u e O f D i a g r a m O b j e c t K e y a n y T y p e z b w N T n L X > < a : K e y > < K e y > C o l u m n s \ G r a d e   S c a l e < / K e y > < / a : K e y > < a : V a l u e   i : t y p e = " M e a s u r e G r i d N o d e V i e w S t a t e " > < C o l u m n > 1 7 < / C o l u m n > < L a y e d O u t > t r u e < / L a y e d O u t > < / a : V a l u e > < / a : K e y V a l u e O f D i a g r a m O b j e c t K e y a n y T y p e z b w N T n L X > < a : K e y V a l u e O f D i a g r a m O b j e c t K e y a n y T y p e z b w N T n L X > < a : K e y > < K e y > C o l u m n s \ G r a d e   P o i n t < / K e y > < / a : K e y > < a : V a l u e   i : t y p e = " M e a s u r e G r i d N o d e V i e w S t a t e " > < C o l u m n > 1 8 < / C o l u m n > < L a y e d O u t > t r u e < / L a y e d O u t > < / a : V a l u e > < / a : K e y V a l u e O f D i a g r a m O b j e c t K e y a n y T y p e z b w N T n L X > < a : K e y V a l u e O f D i a g r a m O b j e c t K e y a n y T y p e z b w N T n L X > < a : K e y > < K e y > C o l u m n s \ R e m a r k s < / K e y > < / a : K e y > < a : V a l u e   i : t y p e = " M e a s u r e G r i d N o d e V i e w S t a t e " > < C o l u m n > 1 9 < / C o l u m n > < L a y e d O u t > t r u e < / L a y e d O u t > < / a : V a l u e > < / a : K e y V a l u e O f D i a g r a m O b j e c t K e y a n y T y p e z b w N T n L X > < / V i e w S t a t e s > < / D i a g r a m M a n a g e r . S e r i a l i z a b l e D i a g r a m > < D i a g r a m M a n a g e r . S e r i a l i z a b l e D i a g r a m > < A d a p t e r   i : t y p e = " M e a s u r e D i a g r a m S a n d b o x A d a p t e r " > < T a b l e N a m e > S e c o n d _ S e m e s t e r _ S t r u c t u r e d _ P r o g r a m m i n g < / 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 S e c o n d _ S e m e s t e r _ S t r u c t u r e d _ P r o g r a m m i n g < / 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 C o l u m n s \ A t t e n d a n c e < / K e y > < / D i a g r a m O b j e c t K e y > < D i a g r a m O b j e c t K e y > < K e y > C o l u m n s \ A s s i g n m e n t < / K e y > < / D i a g r a m O b j e c t K e y > < D i a g r a m O b j e c t K e y > < K e y > C o l u m n s \ F i n a l < / K e y > < / D i a g r a m O b j e c t K e y > < D i a g r a m O b j e c t K e y > < K e y > C o l u m n s \ A s s   & a m p ;   F i n a l < / K e y > < / D i a g r a m O b j e c t K e y > < D i a g r a m O b j e c t K e y > < K e y > C o l u m n s \ R o u n d   o f   A 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 C o l u m n s \ A t t e n d a n c e < / K e y > < / a : K e y > < a : V a l u e   i : t y p e = " M e a s u r e G r i d N o d e V i e w S t a t e " > < C o l u m n > 7 < / C o l u m n > < L a y e d O u t > t r u e < / L a y e d O u t > < / a : V a l u e > < / a : K e y V a l u e O f D i a g r a m O b j e c t K e y a n y T y p e z b w N T n L X > < a : K e y V a l u e O f D i a g r a m O b j e c t K e y a n y T y p e z b w N T n L X > < a : K e y > < K e y > C o l u m n s \ A s s i g n m e n t < / K e y > < / a : K e y > < a : V a l u e   i : t y p e = " M e a s u r e G r i d N o d e V i e w S t a t e " > < C o l u m n > 8 < / C o l u m n > < L a y e d O u t > t r u e < / L a y e d O u t > < / a : V a l u e > < / a : K e y V a l u e O f D i a g r a m O b j e c t K e y a n y T y p e z b w N T n L X > < a : K e y V a l u e O f D i a g r a m O b j e c t K e y a n y T y p e z b w N T n L X > < a : K e y > < K e y > C o l u m n s \ F i n a l < / K e y > < / a : K e y > < a : V a l u e   i : t y p e = " M e a s u r e G r i d N o d e V i e w S t a t e " > < C o l u m n > 9 < / C o l u m n > < L a y e d O u t > t r u e < / L a y e d O u t > < / a : V a l u e > < / a : K e y V a l u e O f D i a g r a m O b j e c t K e y a n y T y p e z b w N T n L X > < a : K e y V a l u e O f D i a g r a m O b j e c t K e y a n y T y p e z b w N T n L X > < a : K e y > < K e y > C o l u m n s \ A s s   & a m p ;   F i n a l < / K e y > < / a : K e y > < a : V a l u e   i : t y p e = " M e a s u r e G r i d N o d e V i e w S t a t e " > < C o l u m n > 1 0 < / C o l u m n > < L a y e d O u t > t r u e < / L a y e d O u t > < / a : V a l u e > < / a : K e y V a l u e O f D i a g r a m O b j e c t K e y a n y T y p e z b w N T n L X > < a : K e y V a l u e O f D i a g r a m O b j e c t K e y a n y T y p e z b w N T n L X > < a : K e y > < K e y > C o l u m n s \ R o u n d   o f   A   & a m p ;   F < / K e y > < / a : K e y > < a : V a l u e   i : t y p e = " M e a s u r e G r i d N o d e V i e w S t a t e " > < C o l u m n > 1 1 < / C o l u m n > < L a y e d O u t > t r u e < / L a y e d O u t > < / a : V a l u e > < / a : K e y V a l u e O f D i a g r a m O b j e c t K e y a n y T y p e z b w N T n L X > < a : K e y V a l u e O f D i a g r a m O b j e c t K e y a n y T y p e z b w N T n L X > < a : K e y > < K e y > C o l u m n s \ T o t a l < / K e y > < / a : K e y > < a : V a l u e   i : t y p e = " M e a s u r e G r i d N o d e V i e w S t a t e " > < C o l u m n > 1 2 < / C o l u m n > < L a y e d O u t > t r u e < / L a y e d O u t > < / a : V a l u e > < / a : K e y V a l u e O f D i a g r a m O b j e c t K e y a n y T y p e z b w N T n L X > < a : K e y V a l u e O f D i a g r a m O b j e c t K e y a n y T y p e z b w N T n L X > < a : K e y > < K e y > C o l u m n s \ G r a d e   S c a l e < / K e y > < / a : K e y > < a : V a l u e   i : t y p e = " M e a s u r e G r i d N o d e V i e w S t a t e " > < C o l u m n > 1 3 < / C o l u m n > < L a y e d O u t > t r u e < / L a y e d O u t > < / a : V a l u e > < / a : K e y V a l u e O f D i a g r a m O b j e c t K e y a n y T y p e z b w N T n L X > < a : K e y V a l u e O f D i a g r a m O b j e c t K e y a n y T y p e z b w N T n L X > < a : K e y > < K e y > C o l u m n s \ G r a d e   P o i n t < / K e y > < / a : K e y > < a : V a l u e   i : t y p e = " M e a s u r e G r i d N o d e V i e w S t a t e " > < C o l u m n > 1 4 < / C o l u m n > < L a y e d O u t > t r u e < / L a y e d O u t > < / a : V a l u e > < / a : K e y V a l u e O f D i a g r a m O b j e c t K e y a n y T y p e z b w N T n L X > < a : K e y V a l u e O f D i a g r a m O b j e c t K e y a n y T y p e z b w N T n L X > < a : K e y > < K e y > C o l u m n s \ R e m a r k s < / K e y > < / a : K e y > < a : V a l u e   i : t y p e = " M e a s u r e G r i d N o d e V i e w S t a t e " > < C o l u m n > 1 5 < / C o l u m n > < L a y e d O u t > t r u e < / L a y e d O u t > < / a : V a l u e > < / a : K e y V a l u e O f D i a g r a m O b j e c t K e y a n y T y p e z b w N T n L X > < / V i e w S t a t e s > < / D i a g r a m M a n a g e r . S e r i a l i z a b l e D i a g r a m > < D i a g r a m M a n a g e r . S e r i a l i z a b l e D i a g r a m > < A d a p t e r   i : t y p e = " M e a s u r e D i a g r a m S a n d b o x A d a p t e r " > < T a b l e N a m e > S e c o n d _ S e m e s t e r _ F u n d a m e n t a l _ W e b s i t e _ D e v e l o p m e n t < / 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 S e c o n d _ S e m e s t e r _ F u n d a m e n t a l _ W e b s i t e _ D e v e l o p m e n t < / 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 C o l u m n s \ A t t e n d a n c e < / K e y > < / D i a g r a m O b j e c t K e y > < D i a g r a m O b j e c t K e y > < K e y > C o l u m n s \ A s s i g n m e n t < / K e y > < / D i a g r a m O b j e c t K e y > < D i a g r a m O b j e c t K e y > < K e y > C o l u m n s \ F i n a l < / K e y > < / D i a g r a m O b j e c t K e y > < D i a g r a m O b j e c t K e y > < K e y > C o l u m n s \ A s s   & a m p ;   F i n a l < / K e y > < / D i a g r a m O b j e c t K e y > < D i a g r a m O b j e c t K e y > < K e y > C o l u m n s \ R o u n d   o f   A 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 C o l u m n s \ A t t e n d a n c e < / K e y > < / a : K e y > < a : V a l u e   i : t y p e = " M e a s u r e G r i d N o d e V i e w S t a t e " > < C o l u m n > 7 < / C o l u m n > < L a y e d O u t > t r u e < / L a y e d O u t > < / a : V a l u e > < / a : K e y V a l u e O f D i a g r a m O b j e c t K e y a n y T y p e z b w N T n L X > < a : K e y V a l u e O f D i a g r a m O b j e c t K e y a n y T y p e z b w N T n L X > < a : K e y > < K e y > C o l u m n s \ A s s i g n m e n t < / K e y > < / a : K e y > < a : V a l u e   i : t y p e = " M e a s u r e G r i d N o d e V i e w S t a t e " > < C o l u m n > 8 < / C o l u m n > < L a y e d O u t > t r u e < / L a y e d O u t > < / a : V a l u e > < / a : K e y V a l u e O f D i a g r a m O b j e c t K e y a n y T y p e z b w N T n L X > < a : K e y V a l u e O f D i a g r a m O b j e c t K e y a n y T y p e z b w N T n L X > < a : K e y > < K e y > C o l u m n s \ F i n a l < / K e y > < / a : K e y > < a : V a l u e   i : t y p e = " M e a s u r e G r i d N o d e V i e w S t a t e " > < C o l u m n > 9 < / C o l u m n > < L a y e d O u t > t r u e < / L a y e d O u t > < / a : V a l u e > < / a : K e y V a l u e O f D i a g r a m O b j e c t K e y a n y T y p e z b w N T n L X > < a : K e y V a l u e O f D i a g r a m O b j e c t K e y a n y T y p e z b w N T n L X > < a : K e y > < K e y > C o l u m n s \ A s s   & a m p ;   F i n a l < / K e y > < / a : K e y > < a : V a l u e   i : t y p e = " M e a s u r e G r i d N o d e V i e w S t a t e " > < C o l u m n > 1 0 < / C o l u m n > < L a y e d O u t > t r u e < / L a y e d O u t > < / a : V a l u e > < / a : K e y V a l u e O f D i a g r a m O b j e c t K e y a n y T y p e z b w N T n L X > < a : K e y V a l u e O f D i a g r a m O b j e c t K e y a n y T y p e z b w N T n L X > < a : K e y > < K e y > C o l u m n s \ R o u n d   o f   A   & a m p ;   F < / K e y > < / a : K e y > < a : V a l u e   i : t y p e = " M e a s u r e G r i d N o d e V i e w S t a t e " > < C o l u m n > 1 1 < / C o l u m n > < L a y e d O u t > t r u e < / L a y e d O u t > < / a : V a l u e > < / a : K e y V a l u e O f D i a g r a m O b j e c t K e y a n y T y p e z b w N T n L X > < a : K e y V a l u e O f D i a g r a m O b j e c t K e y a n y T y p e z b w N T n L X > < a : K e y > < K e y > C o l u m n s \ T o t a l < / K e y > < / a : K e y > < a : V a l u e   i : t y p e = " M e a s u r e G r i d N o d e V i e w S t a t e " > < C o l u m n > 1 2 < / C o l u m n > < L a y e d O u t > t r u e < / L a y e d O u t > < / a : V a l u e > < / a : K e y V a l u e O f D i a g r a m O b j e c t K e y a n y T y p e z b w N T n L X > < a : K e y V a l u e O f D i a g r a m O b j e c t K e y a n y T y p e z b w N T n L X > < a : K e y > < K e y > C o l u m n s \ G r a d e   S c a l e < / K e y > < / a : K e y > < a : V a l u e   i : t y p e = " M e a s u r e G r i d N o d e V i e w S t a t e " > < C o l u m n > 1 3 < / C o l u m n > < L a y e d O u t > t r u e < / L a y e d O u t > < / a : V a l u e > < / a : K e y V a l u e O f D i a g r a m O b j e c t K e y a n y T y p e z b w N T n L X > < a : K e y V a l u e O f D i a g r a m O b j e c t K e y a n y T y p e z b w N T n L X > < a : K e y > < K e y > C o l u m n s \ G r a d e   P o i n t < / K e y > < / a : K e y > < a : V a l u e   i : t y p e = " M e a s u r e G r i d N o d e V i e w S t a t e " > < C o l u m n > 1 4 < / C o l u m n > < L a y e d O u t > t r u e < / L a y e d O u t > < / a : V a l u e > < / a : K e y V a l u e O f D i a g r a m O b j e c t K e y a n y T y p e z b w N T n L X > < a : K e y V a l u e O f D i a g r a m O b j e c t K e y a n y T y p e z b w N T n L X > < a : K e y > < K e y > C o l u m n s \ R e m a r k s < / K e y > < / a : K e y > < a : V a l u e   i : t y p e = " M e a s u r e G r i d N o d e V i e w S t a t e " > < C o l u m n > 1 5 < / C o l u m n > < L a y e d O u t > t r u e < / L a y e d O u t > < / a : V a l u e > < / a : K e y V a l u e O f D i a g r a m O b j e c t K e y a n y T y p e z b w N T n L X > < / V i e w S t a t e s > < / D i a g r a m M a n a g e r . S e r i a l i z a b l e D i a g r a m > < D i a g r a m M a n a g e r . S e r i a l i z a b l e D i a g r a m > < A d a p t e r   i : t y p e = " M e a s u r e D i a g r a m S a n d b o x A d a p t e r " > < T a b l e N a m e > S e c o n d _ S e m e s t e r _ S t r u c t u r e d _ P r o g r a m m i n g _ L a b 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 S e c o n d _ S e m e s t e r _ S t r u c t u r e d _ P r o g r a m m i n g _ L a b 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 C o l u m n s \ L a b   P e r f o m a n c e < / K e y > < / D i a g r a m O b j e c t K e y > < D i a g r a m O b j e c t K e y > < K e y > C o l u m n s \ A t t e n d a n c e < / K e y > < / D i a g r a m O b j e c t K e y > < D i a g r a m O b j e c t K e y > < K e y > C o l u m n s \ A s s i g n m e n t < / K e y > < / D i a g r a m O b j e c t K e y > < D i a g r a m O b j e c t K e y > < K e y > C o l u m n s \ F i n a l < / K e y > < / D i a g r a m O b j e c t K e y > < D i a g r a m O b j e c t K e y > < K e y > C o l u m n s \ A s s   & a m p ;   F i n a l < / K e y > < / D i a g r a m O b j e c t K e y > < D i a g r a m O b j e c t K e y > < K e y > C o l u m n s \ R o u n d   o f   A 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 C o l u m n s \ L a b   P e r f o m a n c e < / K e y > < / a : K e y > < a : V a l u e   i : t y p e = " M e a s u r e G r i d N o d e V i e w S t a t e " > < C o l u m n > 2 < / C o l u m n > < L a y e d O u t > t r u e < / L a y e d O u t > < / a : V a l u e > < / a : K e y V a l u e O f D i a g r a m O b j e c t K e y a n y T y p e z b w N T n L X > < a : K e y V a l u e O f D i a g r a m O b j e c t K e y a n y T y p e z b w N T n L X > < a : K e y > < K e y > C o l u m n s \ A t t e n d a n c e < / K e y > < / a : K e y > < a : V a l u e   i : t y p e = " M e a s u r e G r i d N o d e V i e w S t a t e " > < C o l u m n > 3 < / C o l u m n > < L a y e d O u t > t r u e < / L a y e d O u t > < / a : V a l u e > < / a : K e y V a l u e O f D i a g r a m O b j e c t K e y a n y T y p e z b w N T n L X > < a : K e y V a l u e O f D i a g r a m O b j e c t K e y a n y T y p e z b w N T n L X > < a : K e y > < K e y > C o l u m n s \ A s s i g n m e n t < / K e y > < / a : K e y > < a : V a l u e   i : t y p e = " M e a s u r e G r i d N o d e V i e w S t a t e " > < C o l u m n > 4 < / C o l u m n > < L a y e d O u t > t r u e < / L a y e d O u t > < / a : V a l u e > < / a : K e y V a l u e O f D i a g r a m O b j e c t K e y a n y T y p e z b w N T n L X > < a : K e y V a l u e O f D i a g r a m O b j e c t K e y a n y T y p e z b w N T n L X > < a : K e y > < K e y > C o l u m n s \ F i n a l < / K e y > < / a : K e y > < a : V a l u e   i : t y p e = " M e a s u r e G r i d N o d e V i e w S t a t e " > < C o l u m n > 5 < / C o l u m n > < L a y e d O u t > t r u e < / L a y e d O u t > < / a : V a l u e > < / a : K e y V a l u e O f D i a g r a m O b j e c t K e y a n y T y p e z b w N T n L X > < a : K e y V a l u e O f D i a g r a m O b j e c t K e y a n y T y p e z b w N T n L X > < a : K e y > < K e y > C o l u m n s \ A s s   & a m p ;   F i n a l < / K e y > < / a : K e y > < a : V a l u e   i : t y p e = " M e a s u r e G r i d N o d e V i e w S t a t e " > < C o l u m n > 6 < / C o l u m n > < L a y e d O u t > t r u e < / L a y e d O u t > < / a : V a l u e > < / a : K e y V a l u e O f D i a g r a m O b j e c t K e y a n y T y p e z b w N T n L X > < a : K e y V a l u e O f D i a g r a m O b j e c t K e y a n y T y p e z b w N T n L X > < a : K e y > < K e y > C o l u m n s \ R o u n d   o f   A   & a m p ;   F < / K e y > < / a : K e y > < a : V a l u e   i : t y p e = " M e a s u r e G r i d N o d e V i e w S t a t e " > < C o l u m n > 7 < / C o l u m n > < L a y e d O u t > t r u e < / L a y e d O u t > < / a : V a l u e > < / a : K e y V a l u e O f D i a g r a m O b j e c t K e y a n y T y p e z b w N T n L X > < a : K e y V a l u e O f D i a g r a m O b j e c t K e y a n y T y p e z b w N T n L X > < a : K e y > < K e y > C o l u m n s \ T o t a l < / K e y > < / a : K e y > < a : V a l u e   i : t y p e = " M e a s u r e G r i d N o d e V i e w S t a t e " > < C o l u m n > 8 < / C o l u m n > < L a y e d O u t > t r u e < / L a y e d O u t > < / a : V a l u e > < / a : K e y V a l u e O f D i a g r a m O b j e c t K e y a n y T y p e z b w N T n L X > < a : K e y V a l u e O f D i a g r a m O b j e c t K e y a n y T y p e z b w N T n L X > < a : K e y > < K e y > C o l u m n s \ G r a d e   S c a l e < / K e y > < / a : K e y > < a : V a l u e   i : t y p e = " M e a s u r e G r i d N o d e V i e w S t a t e " > < C o l u m n > 9 < / C o l u m n > < L a y e d O u t > t r u e < / L a y e d O u t > < / a : V a l u e > < / a : K e y V a l u e O f D i a g r a m O b j e c t K e y a n y T y p e z b w N T n L X > < a : K e y V a l u e O f D i a g r a m O b j e c t K e y a n y T y p e z b w N T n L X > < a : K e y > < K e y > C o l u m n s \ G r a d e   P o i n t < / K e y > < / a : K e y > < a : V a l u e   i : t y p e = " M e a s u r e G r i d N o d e V i e w S t a t e " > < C o l u m n > 1 0 < / C o l u m n > < L a y e d O u t > t r u e < / L a y e d O u t > < / a : V a l u e > < / a : K e y V a l u e O f D i a g r a m O b j e c t K e y a n y T y p e z b w N T n L X > < a : K e y V a l u e O f D i a g r a m O b j e c t K e y a n y T y p e z b w N T n L X > < a : K e y > < K e y > C o l u m n s \ R e m a r k s < / K e y > < / a : K e y > < a : V a l u e   i : t y p e = " M e a s u r e G r i d N o d e V i e w S t a t e " > < C o l u m n > 1 1 < / C o l u m n > < L a y e d O u t > t r u e < / L a y e d O u t > < / a : V a l u e > < / a : K e y V a l u e O f D i a g r a m O b j e c t K e y a n y T y p e z b w N T n L X > < / V i e w S t a t e s > < / D i a g r a m M a n a g e r . S e r i a l i z a b l e D i a g r a m > < D i a g r a m M a n a g e r . S e r i a l i z a b l e D i a g r a m > < A d a p t e r   i : t y p e = " M e a s u r e D i a g r a m S a n d b o x A d a p t e r " > < T a b l e N a m e > S e c o n d _ S e m e s t e r _ F u n d a m e n t a l _ W e b s i t e _ D e v e l o p m e n t _ L a b 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 S e c o n d _ S e m e s t e r _ F u n d a m e n t a l _ W e b s i t e _ D e v e l o p m e n t _ L a b 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 C o l u m n s \ L a b   P e r f o m a n c e < / K e y > < / D i a g r a m O b j e c t K e y > < D i a g r a m O b j e c t K e y > < K e y > C o l u m n s \ A t t e n d a n c e < / K e y > < / D i a g r a m O b j e c t K e y > < D i a g r a m O b j e c t K e y > < K e y > C o l u m n s \ A s s i g n m e n t < / K e y > < / D i a g r a m O b j e c t K e y > < D i a g r a m O b j e c t K e y > < K e y > C o l u m n s \ F i n a l < / K e y > < / D i a g r a m O b j e c t K e y > < D i a g r a m O b j e c t K e y > < K e y > C o l u m n s \ A s s   & a m p ;   F i n a l < / K e y > < / D i a g r a m O b j e c t K e y > < D i a g r a m O b j e c t K e y > < K e y > C o l u m n s \ R o u n d   o f   A 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 C o l u m n s \ L a b   P e r f o m a n c e < / K e y > < / a : K e y > < a : V a l u e   i : t y p e = " M e a s u r e G r i d N o d e V i e w S t a t e " > < C o l u m n > 2 < / C o l u m n > < L a y e d O u t > t r u e < / L a y e d O u t > < / a : V a l u e > < / a : K e y V a l u e O f D i a g r a m O b j e c t K e y a n y T y p e z b w N T n L X > < a : K e y V a l u e O f D i a g r a m O b j e c t K e y a n y T y p e z b w N T n L X > < a : K e y > < K e y > C o l u m n s \ A t t e n d a n c e < / K e y > < / a : K e y > < a : V a l u e   i : t y p e = " M e a s u r e G r i d N o d e V i e w S t a t e " > < C o l u m n > 3 < / C o l u m n > < L a y e d O u t > t r u e < / L a y e d O u t > < / a : V a l u e > < / a : K e y V a l u e O f D i a g r a m O b j e c t K e y a n y T y p e z b w N T n L X > < a : K e y V a l u e O f D i a g r a m O b j e c t K e y a n y T y p e z b w N T n L X > < a : K e y > < K e y > C o l u m n s \ A s s i g n m e n t < / K e y > < / a : K e y > < a : V a l u e   i : t y p e = " M e a s u r e G r i d N o d e V i e w S t a t e " > < C o l u m n > 4 < / C o l u m n > < L a y e d O u t > t r u e < / L a y e d O u t > < / a : V a l u e > < / a : K e y V a l u e O f D i a g r a m O b j e c t K e y a n y T y p e z b w N T n L X > < a : K e y V a l u e O f D i a g r a m O b j e c t K e y a n y T y p e z b w N T n L X > < a : K e y > < K e y > C o l u m n s \ F i n a l < / K e y > < / a : K e y > < a : V a l u e   i : t y p e = " M e a s u r e G r i d N o d e V i e w S t a t e " > < C o l u m n > 5 < / C o l u m n > < L a y e d O u t > t r u e < / L a y e d O u t > < / a : V a l u e > < / a : K e y V a l u e O f D i a g r a m O b j e c t K e y a n y T y p e z b w N T n L X > < a : K e y V a l u e O f D i a g r a m O b j e c t K e y a n y T y p e z b w N T n L X > < a : K e y > < K e y > C o l u m n s \ A s s   & a m p ;   F i n a l < / K e y > < / a : K e y > < a : V a l u e   i : t y p e = " M e a s u r e G r i d N o d e V i e w S t a t e " > < C o l u m n > 6 < / C o l u m n > < L a y e d O u t > t r u e < / L a y e d O u t > < / a : V a l u e > < / a : K e y V a l u e O f D i a g r a m O b j e c t K e y a n y T y p e z b w N T n L X > < a : K e y V a l u e O f D i a g r a m O b j e c t K e y a n y T y p e z b w N T n L X > < a : K e y > < K e y > C o l u m n s \ R o u n d   o f   A   & a m p ;   F < / K e y > < / a : K e y > < a : V a l u e   i : t y p e = " M e a s u r e G r i d N o d e V i e w S t a t e " > < C o l u m n > 7 < / C o l u m n > < L a y e d O u t > t r u e < / L a y e d O u t > < / a : V a l u e > < / a : K e y V a l u e O f D i a g r a m O b j e c t K e y a n y T y p e z b w N T n L X > < a : K e y V a l u e O f D i a g r a m O b j e c t K e y a n y T y p e z b w N T n L X > < a : K e y > < K e y > C o l u m n s \ T o t a l < / K e y > < / a : K e y > < a : V a l u e   i : t y p e = " M e a s u r e G r i d N o d e V i e w S t a t e " > < C o l u m n > 8 < / C o l u m n > < L a y e d O u t > t r u e < / L a y e d O u t > < / a : V a l u e > < / a : K e y V a l u e O f D i a g r a m O b j e c t K e y a n y T y p e z b w N T n L X > < a : K e y V a l u e O f D i a g r a m O b j e c t K e y a n y T y p e z b w N T n L X > < a : K e y > < K e y > C o l u m n s \ G r a d e   S c a l e < / K e y > < / a : K e y > < a : V a l u e   i : t y p e = " M e a s u r e G r i d N o d e V i e w S t a t e " > < C o l u m n > 9 < / C o l u m n > < L a y e d O u t > t r u e < / L a y e d O u t > < / a : V a l u e > < / a : K e y V a l u e O f D i a g r a m O b j e c t K e y a n y T y p e z b w N T n L X > < a : K e y V a l u e O f D i a g r a m O b j e c t K e y a n y T y p e z b w N T n L X > < a : K e y > < K e y > C o l u m n s \ G r a d e   P o i n t < / K e y > < / a : K e y > < a : V a l u e   i : t y p e = " M e a s u r e G r i d N o d e V i e w S t a t e " > < C o l u m n > 1 0 < / C o l u m n > < L a y e d O u t > t r u e < / L a y e d O u t > < / a : V a l u e > < / a : K e y V a l u e O f D i a g r a m O b j e c t K e y a n y T y p e z b w N T n L X > < a : K e y V a l u e O f D i a g r a m O b j e c t K e y a n y T y p e z b w N T n L X > < a : K e y > < K e y > C o l u m n s \ R e m a r k s < / K e y > < / a : K e y > < a : V a l u e   i : t y p e = " M e a s u r e G r i d N o d e V i e w S t a t e " > < C o l u m n > 1 1 < / C o l u m n > < L a y e d O u t > t r u e < / L a y e d O u t > < / a : V a l u e > < / a : K e y V a l u e O f D i a g r a m O b j e c t K e y a n y T y p e z b w N T n L X > < / V i e w S t a t e s > < / D i a g r a m M a n a g e r . S e r i a l i z a b l e D i a g r a m > < D i a g r a m M a n a g e r . S e r i a l i z a b l e D i a g r a m > < A d a p t e r   i : t y p e = " M e a s u r e D i a g r a m S a n d b o x A d a p t e r " > < T a b l e N a m e > T h i r d _ S e m e s t e r _ S G P A 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 T h i r d _ S e m e s t e r _ S G P A 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 C o l u m n s \ S t u d y   a n d   C o m m u n i c a t i o n   S k i l l s < / K e y > < / D i a g r a m O b j e c t K e y > < D i a g r a m O b j e c t K e y > < K e y > C o l u m n s \ S t u d y   a n d   C o m m u n i c a t i o n   S k i l l s   C r e d i t < / K e y > < / D i a g r a m O b j e c t K e y > < D i a g r a m O b j e c t K e y > < K e y > C o l u m n s \ S t u d y   a n d   C o m m u n i c a t i o n   S k i l l s   ( T o t a l   G r a d e   +   C r e d i t ) < / K e y > < / D i a g r a m O b j e c t K e y > < D i a g r a m O b j e c t K e y > < K e y > C o l u m n s \ D a t a   S t r u c t u r e < / K e y > < / D i a g r a m O b j e c t K e y > < D i a g r a m O b j e c t K e y > < K e y > C o l u m n s \ D a t a   S t r u c t u r e   C r e d i t < / K e y > < / D i a g r a m O b j e c t K e y > < D i a g r a m O b j e c t K e y > < K e y > C o l u m n s \ D a t a   S t r u c t u r e   ( T o t a l   G r a d e   +   C r e d i t ) < / K e y > < / D i a g r a m O b j e c t K e y > < D i a g r a m O b j e c t K e y > < K e y > C o l u m n s \ C o m p u t e r   N e t w o r k < / K e y > < / D i a g r a m O b j e c t K e y > < D i a g r a m O b j e c t K e y > < K e y > C o l u m n s \ C o m p u t e r   N e t w o r k   C r e d i t < / K e y > < / D i a g r a m O b j e c t K e y > < D i a g r a m O b j e c t K e y > < K e y > C o l u m n s \ C o m p u t e r   N e t w o r k   ( T o t a l   G r a d e   +   C r e d i t ) < / K e y > < / D i a g r a m O b j e c t K e y > < D i a g r a m O b j e c t K e y > < K e y > C o l u m n s \ D a t a   S t r u c t u r e   L a b < / K e y > < / D i a g r a m O b j e c t K e y > < D i a g r a m O b j e c t K e y > < K e y > C o l u m n s \ D a t a   S t r u c t u r e   L a b   C r e d i t < / K e y > < / D i a g r a m O b j e c t K e y > < D i a g r a m O b j e c t K e y > < K e y > C o l u m n s \ D a t a   S t r u c t u r e   L a b   ( T o t a l   G r a d e   +   C r e d i t ) < / K e y > < / D i a g r a m O b j e c t K e y > < D i a g r a m O b j e c t K e y > < K e y > C o l u m n s \ C o m p u t e r   N e t w o r k   L a b < / K e y > < / D i a g r a m O b j e c t K e y > < D i a g r a m O b j e c t K e y > < K e y > C o l u m n s \ C o m p u t e r   N e t w o r k   L a b   C r e d i t < / K e y > < / D i a g r a m O b j e c t K e y > < D i a g r a m O b j e c t K e y > < K e y > C o l u m n s \ C o m p u t e r   N e t w o r k   L a b   ( T o t a l   G r a d e   +   C r e d i t ) < / K e y > < / D i a g r a m O b j e c t K e y > < D i a g r a m O b j e c t K e y > < K e y > C o l u m n s \ D i s c r e t e   M a t h e m a t i c s < / K e y > < / D i a g r a m O b j e c t K e y > < D i a g r a m O b j e c t K e y > < K e y > C o l u m n s \ D i s c r e t e   M a t h e m a t i c s   C r e d i t < / K e y > < / D i a g r a m O b j e c t K e y > < D i a g r a m O b j e c t K e y > < K e y > C o l u m n s \ D i s c r e t e   M a t h e m a t i c s   ( T o t a l   G r a d e   +   C r e d i t ) < / K e y > < / D i a g r a m O b j e c t K e y > < D i a g r a m O b j e c t K e y > < K e y > C o l u m n s \ T o t a l   S u b j e c t   C r e d i t < / K e y > < / D i a g r a m O b j e c t K e y > < D i a g r a m O b j e c t K e y > < K e y > C o l u m n s \ 3 r d   S e m e s t e r   ( S G P A ) < / 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 C o l u m n s \ S t u d y   a n d   C o m m u n i c a t i o n   S k i l l s < / K e y > < / a : K e y > < a : V a l u e   i : t y p e = " M e a s u r e G r i d N o d e V i e w S t a t e " > < C o l u m n > 2 < / C o l u m n > < L a y e d O u t > t r u e < / L a y e d O u t > < / a : V a l u e > < / a : K e y V a l u e O f D i a g r a m O b j e c t K e y a n y T y p e z b w N T n L X > < a : K e y V a l u e O f D i a g r a m O b j e c t K e y a n y T y p e z b w N T n L X > < a : K e y > < K e y > C o l u m n s \ S t u d y   a n d   C o m m u n i c a t i o n   S k i l l s   C r e d i t < / K e y > < / a : K e y > < a : V a l u e   i : t y p e = " M e a s u r e G r i d N o d e V i e w S t a t e " > < C o l u m n > 3 < / C o l u m n > < L a y e d O u t > t r u e < / L a y e d O u t > < / a : V a l u e > < / a : K e y V a l u e O f D i a g r a m O b j e c t K e y a n y T y p e z b w N T n L X > < a : K e y V a l u e O f D i a g r a m O b j e c t K e y a n y T y p e z b w N T n L X > < a : K e y > < K e y > C o l u m n s \ S t u d y   a n d   C o m m u n i c a t i o n   S k i l l s   ( T o t a l   G r a d e   +   C r e d i t ) < / K e y > < / a : K e y > < a : V a l u e   i : t y p e = " M e a s u r e G r i d N o d e V i e w S t a t e " > < C o l u m n > 4 < / C o l u m n > < L a y e d O u t > t r u e < / L a y e d O u t > < / a : V a l u e > < / a : K e y V a l u e O f D i a g r a m O b j e c t K e y a n y T y p e z b w N T n L X > < a : K e y V a l u e O f D i a g r a m O b j e c t K e y a n y T y p e z b w N T n L X > < a : K e y > < K e y > C o l u m n s \ D a t a   S t r u c t u r e < / K e y > < / a : K e y > < a : V a l u e   i : t y p e = " M e a s u r e G r i d N o d e V i e w S t a t e " > < C o l u m n > 5 < / C o l u m n > < L a y e d O u t > t r u e < / L a y e d O u t > < / a : V a l u e > < / a : K e y V a l u e O f D i a g r a m O b j e c t K e y a n y T y p e z b w N T n L X > < a : K e y V a l u e O f D i a g r a m O b j e c t K e y a n y T y p e z b w N T n L X > < a : K e y > < K e y > C o l u m n s \ D a t a   S t r u c t u r e   C r e d i t < / K e y > < / a : K e y > < a : V a l u e   i : t y p e = " M e a s u r e G r i d N o d e V i e w S t a t e " > < C o l u m n > 6 < / C o l u m n > < L a y e d O u t > t r u e < / L a y e d O u t > < / a : V a l u e > < / a : K e y V a l u e O f D i a g r a m O b j e c t K e y a n y T y p e z b w N T n L X > < a : K e y V a l u e O f D i a g r a m O b j e c t K e y a n y T y p e z b w N T n L X > < a : K e y > < K e y > C o l u m n s \ D a t a   S t r u c t u r e   ( T o t a l   G r a d e   +   C r e d i t ) < / K e y > < / a : K e y > < a : V a l u e   i : t y p e = " M e a s u r e G r i d N o d e V i e w S t a t e " > < C o l u m n > 7 < / C o l u m n > < L a y e d O u t > t r u e < / L a y e d O u t > < / a : V a l u e > < / a : K e y V a l u e O f D i a g r a m O b j e c t K e y a n y T y p e z b w N T n L X > < a : K e y V a l u e O f D i a g r a m O b j e c t K e y a n y T y p e z b w N T n L X > < a : K e y > < K e y > C o l u m n s \ C o m p u t e r   N e t w o r k < / K e y > < / a : K e y > < a : V a l u e   i : t y p e = " M e a s u r e G r i d N o d e V i e w S t a t e " > < C o l u m n > 8 < / C o l u m n > < L a y e d O u t > t r u e < / L a y e d O u t > < / a : V a l u e > < / a : K e y V a l u e O f D i a g r a m O b j e c t K e y a n y T y p e z b w N T n L X > < a : K e y V a l u e O f D i a g r a m O b j e c t K e y a n y T y p e z b w N T n L X > < a : K e y > < K e y > C o l u m n s \ C o m p u t e r   N e t w o r k   C r e d i t < / K e y > < / a : K e y > < a : V a l u e   i : t y p e = " M e a s u r e G r i d N o d e V i e w S t a t e " > < C o l u m n > 9 < / C o l u m n > < L a y e d O u t > t r u e < / L a y e d O u t > < / a : V a l u e > < / a : K e y V a l u e O f D i a g r a m O b j e c t K e y a n y T y p e z b w N T n L X > < a : K e y V a l u e O f D i a g r a m O b j e c t K e y a n y T y p e z b w N T n L X > < a : K e y > < K e y > C o l u m n s \ C o m p u t e r   N e t w o r k   ( T o t a l   G r a d e   +   C r e d i t ) < / K e y > < / a : K e y > < a : V a l u e   i : t y p e = " M e a s u r e G r i d N o d e V i e w S t a t e " > < C o l u m n > 1 0 < / C o l u m n > < L a y e d O u t > t r u e < / L a y e d O u t > < / a : V a l u e > < / a : K e y V a l u e O f D i a g r a m O b j e c t K e y a n y T y p e z b w N T n L X > < a : K e y V a l u e O f D i a g r a m O b j e c t K e y a n y T y p e z b w N T n L X > < a : K e y > < K e y > C o l u m n s \ D a t a   S t r u c t u r e   L a b < / K e y > < / a : K e y > < a : V a l u e   i : t y p e = " M e a s u r e G r i d N o d e V i e w S t a t e " > < C o l u m n > 1 1 < / C o l u m n > < L a y e d O u t > t r u e < / L a y e d O u t > < / a : V a l u e > < / a : K e y V a l u e O f D i a g r a m O b j e c t K e y a n y T y p e z b w N T n L X > < a : K e y V a l u e O f D i a g r a m O b j e c t K e y a n y T y p e z b w N T n L X > < a : K e y > < K e y > C o l u m n s \ D a t a   S t r u c t u r e   L a b   C r e d i t < / K e y > < / a : K e y > < a : V a l u e   i : t y p e = " M e a s u r e G r i d N o d e V i e w S t a t e " > < C o l u m n > 1 2 < / C o l u m n > < L a y e d O u t > t r u e < / L a y e d O u t > < / a : V a l u e > < / a : K e y V a l u e O f D i a g r a m O b j e c t K e y a n y T y p e z b w N T n L X > < a : K e y V a l u e O f D i a g r a m O b j e c t K e y a n y T y p e z b w N T n L X > < a : K e y > < K e y > C o l u m n s \ D a t a   S t r u c t u r e   L a b   ( T o t a l   G r a d e   +   C r e d i t ) < / K e y > < / a : K e y > < a : V a l u e   i : t y p e = " M e a s u r e G r i d N o d e V i e w S t a t e " > < C o l u m n > 1 3 < / C o l u m n > < L a y e d O u t > t r u e < / L a y e d O u t > < / a : V a l u e > < / a : K e y V a l u e O f D i a g r a m O b j e c t K e y a n y T y p e z b w N T n L X > < a : K e y V a l u e O f D i a g r a m O b j e c t K e y a n y T y p e z b w N T n L X > < a : K e y > < K e y > C o l u m n s \ C o m p u t e r   N e t w o r k   L a b < / K e y > < / a : K e y > < a : V a l u e   i : t y p e = " M e a s u r e G r i d N o d e V i e w S t a t e " > < C o l u m n > 1 4 < / C o l u m n > < L a y e d O u t > t r u e < / L a y e d O u t > < / a : V a l u e > < / a : K e y V a l u e O f D i a g r a m O b j e c t K e y a n y T y p e z b w N T n L X > < a : K e y V a l u e O f D i a g r a m O b j e c t K e y a n y T y p e z b w N T n L X > < a : K e y > < K e y > C o l u m n s \ C o m p u t e r   N e t w o r k   L a b   C r e d i t < / K e y > < / a : K e y > < a : V a l u e   i : t y p e = " M e a s u r e G r i d N o d e V i e w S t a t e " > < C o l u m n > 1 5 < / C o l u m n > < L a y e d O u t > t r u e < / L a y e d O u t > < / a : V a l u e > < / a : K e y V a l u e O f D i a g r a m O b j e c t K e y a n y T y p e z b w N T n L X > < a : K e y V a l u e O f D i a g r a m O b j e c t K e y a n y T y p e z b w N T n L X > < a : K e y > < K e y > C o l u m n s \ C o m p u t e r   N e t w o r k   L a b   ( T o t a l   G r a d e   +   C r e d i t ) < / K e y > < / a : K e y > < a : V a l u e   i : t y p e = " M e a s u r e G r i d N o d e V i e w S t a t e " > < C o l u m n > 1 6 < / C o l u m n > < L a y e d O u t > t r u e < / L a y e d O u t > < / a : V a l u e > < / a : K e y V a l u e O f D i a g r a m O b j e c t K e y a n y T y p e z b w N T n L X > < a : K e y V a l u e O f D i a g r a m O b j e c t K e y a n y T y p e z b w N T n L X > < a : K e y > < K e y > C o l u m n s \ D i s c r e t e   M a t h e m a t i c s < / K e y > < / a : K e y > < a : V a l u e   i : t y p e = " M e a s u r e G r i d N o d e V i e w S t a t e " > < C o l u m n > 1 7 < / C o l u m n > < L a y e d O u t > t r u e < / L a y e d O u t > < / a : V a l u e > < / a : K e y V a l u e O f D i a g r a m O b j e c t K e y a n y T y p e z b w N T n L X > < a : K e y V a l u e O f D i a g r a m O b j e c t K e y a n y T y p e z b w N T n L X > < a : K e y > < K e y > C o l u m n s \ D i s c r e t e   M a t h e m a t i c s   C r e d i t < / K e y > < / a : K e y > < a : V a l u e   i : t y p e = " M e a s u r e G r i d N o d e V i e w S t a t e " > < C o l u m n > 1 8 < / C o l u m n > < L a y e d O u t > t r u e < / L a y e d O u t > < / a : V a l u e > < / a : K e y V a l u e O f D i a g r a m O b j e c t K e y a n y T y p e z b w N T n L X > < a : K e y V a l u e O f D i a g r a m O b j e c t K e y a n y T y p e z b w N T n L X > < a : K e y > < K e y > C o l u m n s \ D i s c r e t e   M a t h e m a t i c s   ( T o t a l   G r a d e   +   C r e d i t ) < / K e y > < / a : K e y > < a : V a l u e   i : t y p e = " M e a s u r e G r i d N o d e V i e w S t a t e " > < C o l u m n > 1 9 < / C o l u m n > < L a y e d O u t > t r u e < / L a y e d O u t > < / a : V a l u e > < / a : K e y V a l u e O f D i a g r a m O b j e c t K e y a n y T y p e z b w N T n L X > < a : K e y V a l u e O f D i a g r a m O b j e c t K e y a n y T y p e z b w N T n L X > < a : K e y > < K e y > C o l u m n s \ T o t a l   S u b j e c t   C r e d i t < / K e y > < / a : K e y > < a : V a l u e   i : t y p e = " M e a s u r e G r i d N o d e V i e w S t a t e " > < C o l u m n > 2 0 < / C o l u m n > < L a y e d O u t > t r u e < / L a y e d O u t > < / a : V a l u e > < / a : K e y V a l u e O f D i a g r a m O b j e c t K e y a n y T y p e z b w N T n L X > < a : K e y V a l u e O f D i a g r a m O b j e c t K e y a n y T y p e z b w N T n L X > < a : K e y > < K e y > C o l u m n s \ 3 r d   S e m e s t e r   ( S G P A ) < / K e y > < / a : K e y > < a : V a l u e   i : t y p e = " M e a s u r e G r i d N o d e V i e w S t a t e " > < C o l u m n > 2 1 < / C o l u m n > < L a y e d O u t > t r u e < / L a y e d O u t > < / a : V a l u e > < / a : K e y V a l u e O f D i a g r a m O b j e c t K e y a n y T y p e z b w N T n L X > < / V i e w S t a t e s > < / D i a g r a m M a n a g e r . S e r i a l i z a b l e D i a g r a m > < D i a g r a m M a n a g e r . S e r i a l i z a b l e D i a g r a m > < A d a p t e r   i : t y p e = " M e a s u r e D i a g r a m S a n d b o x A d a p t e r " > < T a b l e N a m e > T h i r d _ S e m e s t e r _ S t u d y _ a n d _ C o m m u n i c a t i o n _ S k i l l s 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 T h i r d _ S e m e s t e r _ S t u d y _ a n d _ C o m m u n i c a t i o n _ S k i l l s 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 C o l u m n s \ A s s i g n m e n t < / K e y > < / D i a g r a m O b j e c t K e y > < D i a g r a m O b j e c t K e y > < K e y > C o l u m n s \ P r e s e n t a t i o n < / K e y > < / D i a g r a m O b j e c t K e y > < D i a g r a m O b j e c t K e y > < K e y > C o l u m n s \ A t t e n d a n c e < / K e y > < / D i a g r a m O b j e c t K e y > < D i a g r a m O b j e c t K e y > < K e y > C o l u m n s \ T o t a l   o u t   o f   A P A < / K e y > < / D i a g r a m O b j e c t K e y > < D i a g r a m O b j e c t K e y > < K e y > C o l u m n s \ R o u n d   o f   A P A < / K e y > < / D i a g r a m O b j e c t K e y > < D i a g r a m O b j e c t K e y > < K e y > C o l u m n s \ M i d t e r m < / K e y > < / D i a g r a m O b j e c t K e y > < D i a g r a m O b j e c t K e y > < K e y > C o l u m n s \ F i n a l < / K e y > < / D i a g r a m O b j e c t K e y > < D i a g r a m O b j e c t K e y > < K e y > C o l u m n s \ M i d   & a m p ;   F i n a l < / K e y > < / D i a g r a m O b j e c t K e y > < D i a g r a m O b j e c t K e y > < K e y > C o l u m n s \ R o u n d   o f   M 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 C o l u m n s \ A s s i g n m e n t < / K e y > < / a : K e y > < a : V a l u e   i : t y p e = " M e a s u r e G r i d N o d e V i e w S t a t e " > < C o l u m n > 7 < / C o l u m n > < L a y e d O u t > t r u e < / L a y e d O u t > < / a : V a l u e > < / a : K e y V a l u e O f D i a g r a m O b j e c t K e y a n y T y p e z b w N T n L X > < a : K e y V a l u e O f D i a g r a m O b j e c t K e y a n y T y p e z b w N T n L X > < a : K e y > < K e y > C o l u m n s \ P r e s e n t a t i o n < / K e y > < / a : K e y > < a : V a l u e   i : t y p e = " M e a s u r e G r i d N o d e V i e w S t a t e " > < C o l u m n > 8 < / C o l u m n > < L a y e d O u t > t r u e < / L a y e d O u t > < / a : V a l u e > < / a : K e y V a l u e O f D i a g r a m O b j e c t K e y a n y T y p e z b w N T n L X > < a : K e y V a l u e O f D i a g r a m O b j e c t K e y a n y T y p e z b w N T n L X > < a : K e y > < K e y > C o l u m n s \ A t t e n d a n c e < / K e y > < / a : K e y > < a : V a l u e   i : t y p e = " M e a s u r e G r i d N o d e V i e w S t a t e " > < C o l u m n > 9 < / C o l u m n > < L a y e d O u t > t r u e < / L a y e d O u t > < / a : V a l u e > < / a : K e y V a l u e O f D i a g r a m O b j e c t K e y a n y T y p e z b w N T n L X > < a : K e y V a l u e O f D i a g r a m O b j e c t K e y a n y T y p e z b w N T n L X > < a : K e y > < K e y > C o l u m n s \ T o t a l   o u t   o f   A P A < / K e y > < / a : K e y > < a : V a l u e   i : t y p e = " M e a s u r e G r i d N o d e V i e w S t a t e " > < C o l u m n > 1 0 < / C o l u m n > < L a y e d O u t > t r u e < / L a y e d O u t > < / a : V a l u e > < / a : K e y V a l u e O f D i a g r a m O b j e c t K e y a n y T y p e z b w N T n L X > < a : K e y V a l u e O f D i a g r a m O b j e c t K e y a n y T y p e z b w N T n L X > < a : K e y > < K e y > C o l u m n s \ R o u n d   o f   A P A < / K e y > < / a : K e y > < a : V a l u e   i : t y p e = " M e a s u r e G r i d N o d e V i e w S t a t e " > < C o l u m n > 1 1 < / C o l u m n > < L a y e d O u t > t r u e < / L a y e d O u t > < / a : V a l u e > < / a : K e y V a l u e O f D i a g r a m O b j e c t K e y a n y T y p e z b w N T n L X > < a : K e y V a l u e O f D i a g r a m O b j e c t K e y a n y T y p e z b w N T n L X > < a : K e y > < K e y > C o l u m n s \ M i d t e r m < / K e y > < / a : K e y > < a : V a l u e   i : t y p e = " M e a s u r e G r i d N o d e V i e w S t a t e " > < C o l u m n > 1 2 < / C o l u m n > < L a y e d O u t > t r u e < / L a y e d O u t > < / a : V a l u e > < / a : K e y V a l u e O f D i a g r a m O b j e c t K e y a n y T y p e z b w N T n L X > < a : K e y V a l u e O f D i a g r a m O b j e c t K e y a n y T y p e z b w N T n L X > < a : K e y > < K e y > C o l u m n s \ F i n a l < / K e y > < / a : K e y > < a : V a l u e   i : t y p e = " M e a s u r e G r i d N o d e V i e w S t a t e " > < C o l u m n > 1 3 < / C o l u m n > < L a y e d O u t > t r u e < / L a y e d O u t > < / a : V a l u e > < / a : K e y V a l u e O f D i a g r a m O b j e c t K e y a n y T y p e z b w N T n L X > < a : K e y V a l u e O f D i a g r a m O b j e c t K e y a n y T y p e z b w N T n L X > < a : K e y > < K e y > C o l u m n s \ M i d   & a m p ;   F i n a l < / K e y > < / a : K e y > < a : V a l u e   i : t y p e = " M e a s u r e G r i d N o d e V i e w S t a t e " > < C o l u m n > 1 4 < / C o l u m n > < L a y e d O u t > t r u e < / L a y e d O u t > < / a : V a l u e > < / a : K e y V a l u e O f D i a g r a m O b j e c t K e y a n y T y p e z b w N T n L X > < a : K e y V a l u e O f D i a g r a m O b j e c t K e y a n y T y p e z b w N T n L X > < a : K e y > < K e y > C o l u m n s \ R o u n d   o f   M   & a m p ;   F < / K e y > < / a : K e y > < a : V a l u e   i : t y p e = " M e a s u r e G r i d N o d e V i e w S t a t e " > < C o l u m n > 1 5 < / C o l u m n > < L a y e d O u t > t r u e < / L a y e d O u t > < / a : V a l u e > < / a : K e y V a l u e O f D i a g r a m O b j e c t K e y a n y T y p e z b w N T n L X > < a : K e y V a l u e O f D i a g r a m O b j e c t K e y a n y T y p e z b w N T n L X > < a : K e y > < K e y > C o l u m n s \ T o t a l < / K e y > < / a : K e y > < a : V a l u e   i : t y p e = " M e a s u r e G r i d N o d e V i e w S t a t e " > < C o l u m n > 1 6 < / C o l u m n > < L a y e d O u t > t r u e < / L a y e d O u t > < / a : V a l u e > < / a : K e y V a l u e O f D i a g r a m O b j e c t K e y a n y T y p e z b w N T n L X > < a : K e y V a l u e O f D i a g r a m O b j e c t K e y a n y T y p e z b w N T n L X > < a : K e y > < K e y > C o l u m n s \ G r a d e   S c a l e < / K e y > < / a : K e y > < a : V a l u e   i : t y p e = " M e a s u r e G r i d N o d e V i e w S t a t e " > < C o l u m n > 1 7 < / C o l u m n > < L a y e d O u t > t r u e < / L a y e d O u t > < / a : V a l u e > < / a : K e y V a l u e O f D i a g r a m O b j e c t K e y a n y T y p e z b w N T n L X > < a : K e y V a l u e O f D i a g r a m O b j e c t K e y a n y T y p e z b w N T n L X > < a : K e y > < K e y > C o l u m n s \ G r a d e   P o i n t < / K e y > < / a : K e y > < a : V a l u e   i : t y p e = " M e a s u r e G r i d N o d e V i e w S t a t e " > < C o l u m n > 1 8 < / C o l u m n > < L a y e d O u t > t r u e < / L a y e d O u t > < / a : V a l u e > < / a : K e y V a l u e O f D i a g r a m O b j e c t K e y a n y T y p e z b w N T n L X > < a : K e y V a l u e O f D i a g r a m O b j e c t K e y a n y T y p e z b w N T n L X > < a : K e y > < K e y > C o l u m n s \ R e m a r k s < / K e y > < / a : K e y > < a : V a l u e   i : t y p e = " M e a s u r e G r i d N o d e V i e w S t a t e " > < C o l u m n > 1 9 < / C o l u m n > < L a y e d O u t > t r u e < / L a y e d O u t > < / a : V a l u e > < / a : K e y V a l u e O f D i a g r a m O b j e c t K e y a n y T y p e z b w N T n L X > < / V i e w S t a t e s > < / D i a g r a m M a n a g e r . S e r i a l i z a b l e D i a g r a m > < D i a g r a m M a n a g e r . S e r i a l i z a b l e D i a g r a m > < A d a p t e r   i : t y p e = " M e a s u r e D i a g r a m S a n d b o x A d a p t e r " > < T a b l e N a m e > T h i r d _ S e m e s t e r _ D a t a _ S t r u c t u r e 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 T h i r d _ S e m e s t e r _ D a t a _ S t r u c t u r e 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 C o l u m n s \ A t t e n d a n c e < / K e y > < / D i a g r a m O b j e c t K e y > < D i a g r a m O b j e c t K e y > < K e y > C o l u m n s \ A s s i g n m e n t < / K e y > < / D i a g r a m O b j e c t K e y > < D i a g r a m O b j e c t K e y > < K e y > C o l u m n s \ F i n a l < / K e y > < / D i a g r a m O b j e c t K e y > < D i a g r a m O b j e c t K e y > < K e y > C o l u m n s \ A s s   & a m p ;   F i n a l < / K e y > < / D i a g r a m O b j e c t K e y > < D i a g r a m O b j e c t K e y > < K e y > C o l u m n s \ R o u n d   o f   A 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 C o l u m n s \ A t t e n d a n c e < / K e y > < / a : K e y > < a : V a l u e   i : t y p e = " M e a s u r e G r i d N o d e V i e w S t a t e " > < C o l u m n > 7 < / C o l u m n > < L a y e d O u t > t r u e < / L a y e d O u t > < / a : V a l u e > < / a : K e y V a l u e O f D i a g r a m O b j e c t K e y a n y T y p e z b w N T n L X > < a : K e y V a l u e O f D i a g r a m O b j e c t K e y a n y T y p e z b w N T n L X > < a : K e y > < K e y > C o l u m n s \ A s s i g n m e n t < / K e y > < / a : K e y > < a : V a l u e   i : t y p e = " M e a s u r e G r i d N o d e V i e w S t a t e " > < C o l u m n > 8 < / C o l u m n > < L a y e d O u t > t r u e < / L a y e d O u t > < / a : V a l u e > < / a : K e y V a l u e O f D i a g r a m O b j e c t K e y a n y T y p e z b w N T n L X > < a : K e y V a l u e O f D i a g r a m O b j e c t K e y a n y T y p e z b w N T n L X > < a : K e y > < K e y > C o l u m n s \ F i n a l < / K e y > < / a : K e y > < a : V a l u e   i : t y p e = " M e a s u r e G r i d N o d e V i e w S t a t e " > < C o l u m n > 9 < / C o l u m n > < L a y e d O u t > t r u e < / L a y e d O u t > < / a : V a l u e > < / a : K e y V a l u e O f D i a g r a m O b j e c t K e y a n y T y p e z b w N T n L X > < a : K e y V a l u e O f D i a g r a m O b j e c t K e y a n y T y p e z b w N T n L X > < a : K e y > < K e y > C o l u m n s \ A s s   & a m p ;   F i n a l < / K e y > < / a : K e y > < a : V a l u e   i : t y p e = " M e a s u r e G r i d N o d e V i e w S t a t e " > < C o l u m n > 1 0 < / C o l u m n > < L a y e d O u t > t r u e < / L a y e d O u t > < / a : V a l u e > < / a : K e y V a l u e O f D i a g r a m O b j e c t K e y a n y T y p e z b w N T n L X > < a : K e y V a l u e O f D i a g r a m O b j e c t K e y a n y T y p e z b w N T n L X > < a : K e y > < K e y > C o l u m n s \ R o u n d   o f   A   & a m p ;   F < / K e y > < / a : K e y > < a : V a l u e   i : t y p e = " M e a s u r e G r i d N o d e V i e w S t a t e " > < C o l u m n > 1 1 < / C o l u m n > < L a y e d O u t > t r u e < / L a y e d O u t > < / a : V a l u e > < / a : K e y V a l u e O f D i a g r a m O b j e c t K e y a n y T y p e z b w N T n L X > < a : K e y V a l u e O f D i a g r a m O b j e c t K e y a n y T y p e z b w N T n L X > < a : K e y > < K e y > C o l u m n s \ T o t a l < / K e y > < / a : K e y > < a : V a l u e   i : t y p e = " M e a s u r e G r i d N o d e V i e w S t a t e " > < C o l u m n > 1 2 < / C o l u m n > < L a y e d O u t > t r u e < / L a y e d O u t > < / a : V a l u e > < / a : K e y V a l u e O f D i a g r a m O b j e c t K e y a n y T y p e z b w N T n L X > < a : K e y V a l u e O f D i a g r a m O b j e c t K e y a n y T y p e z b w N T n L X > < a : K e y > < K e y > C o l u m n s \ G r a d e   S c a l e < / K e y > < / a : K e y > < a : V a l u e   i : t y p e = " M e a s u r e G r i d N o d e V i e w S t a t e " > < C o l u m n > 1 3 < / C o l u m n > < L a y e d O u t > t r u e < / L a y e d O u t > < / a : V a l u e > < / a : K e y V a l u e O f D i a g r a m O b j e c t K e y a n y T y p e z b w N T n L X > < a : K e y V a l u e O f D i a g r a m O b j e c t K e y a n y T y p e z b w N T n L X > < a : K e y > < K e y > C o l u m n s \ G r a d e   P o i n t < / K e y > < / a : K e y > < a : V a l u e   i : t y p e = " M e a s u r e G r i d N o d e V i e w S t a t e " > < C o l u m n > 1 4 < / C o l u m n > < L a y e d O u t > t r u e < / L a y e d O u t > < / a : V a l u e > < / a : K e y V a l u e O f D i a g r a m O b j e c t K e y a n y T y p e z b w N T n L X > < a : K e y V a l u e O f D i a g r a m O b j e c t K e y a n y T y p e z b w N T n L X > < a : K e y > < K e y > C o l u m n s \ R e m a r k s < / K e y > < / a : K e y > < a : V a l u e   i : t y p e = " M e a s u r e G r i d N o d e V i e w S t a t e " > < C o l u m n > 1 5 < / C o l u m n > < L a y e d O u t > t r u e < / L a y e d O u t > < / a : V a l u e > < / a : K e y V a l u e O f D i a g r a m O b j e c t K e y a n y T y p e z b w N T n L X > < / V i e w S t a t e s > < / D i a g r a m M a n a g e r . S e r i a l i z a b l e D i a g r a m > < D i a g r a m M a n a g e r . S e r i a l i z a b l e D i a g r a m > < A d a p t e r   i : t y p e = " M e a s u r e D i a g r a m S a n d b o x A d a p t e r " > < T a b l e N a m e > T h i r d _ S e m e s t e r _ C o m p u t e r _ N e t w o r k < / 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 T h i r d _ S e m e s t e r _ C o m p u t e r _ N e t w o r k < / 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 C o l u m n s \ A t t e n d a n c e < / K e y > < / D i a g r a m O b j e c t K e y > < D i a g r a m O b j e c t K e y > < K e y > C o l u m n s \ A s s i g n m e n t < / K e y > < / D i a g r a m O b j e c t K e y > < D i a g r a m O b j e c t K e y > < K e y > C o l u m n s \ F i n a l < / K e y > < / D i a g r a m O b j e c t K e y > < D i a g r a m O b j e c t K e y > < K e y > C o l u m n s \ A s s   & a m p ;   F i n a l < / K e y > < / D i a g r a m O b j e c t K e y > < D i a g r a m O b j e c t K e y > < K e y > C o l u m n s \ R o u n d   o f   A 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 C o l u m n s \ A t t e n d a n c e < / K e y > < / a : K e y > < a : V a l u e   i : t y p e = " M e a s u r e G r i d N o d e V i e w S t a t e " > < C o l u m n > 7 < / C o l u m n > < L a y e d O u t > t r u e < / L a y e d O u t > < / a : V a l u e > < / a : K e y V a l u e O f D i a g r a m O b j e c t K e y a n y T y p e z b w N T n L X > < a : K e y V a l u e O f D i a g r a m O b j e c t K e y a n y T y p e z b w N T n L X > < a : K e y > < K e y > C o l u m n s \ A s s i g n m e n t < / K e y > < / a : K e y > < a : V a l u e   i : t y p e = " M e a s u r e G r i d N o d e V i e w S t a t e " > < C o l u m n > 8 < / C o l u m n > < L a y e d O u t > t r u e < / L a y e d O u t > < / a : V a l u e > < / a : K e y V a l u e O f D i a g r a m O b j e c t K e y a n y T y p e z b w N T n L X > < a : K e y V a l u e O f D i a g r a m O b j e c t K e y a n y T y p e z b w N T n L X > < a : K e y > < K e y > C o l u m n s \ F i n a l < / K e y > < / a : K e y > < a : V a l u e   i : t y p e = " M e a s u r e G r i d N o d e V i e w S t a t e " > < C o l u m n > 9 < / C o l u m n > < L a y e d O u t > t r u e < / L a y e d O u t > < / a : V a l u e > < / a : K e y V a l u e O f D i a g r a m O b j e c t K e y a n y T y p e z b w N T n L X > < a : K e y V a l u e O f D i a g r a m O b j e c t K e y a n y T y p e z b w N T n L X > < a : K e y > < K e y > C o l u m n s \ A s s   & a m p ;   F i n a l < / K e y > < / a : K e y > < a : V a l u e   i : t y p e = " M e a s u r e G r i d N o d e V i e w S t a t e " > < C o l u m n > 1 0 < / C o l u m n > < L a y e d O u t > t r u e < / L a y e d O u t > < / a : V a l u e > < / a : K e y V a l u e O f D i a g r a m O b j e c t K e y a n y T y p e z b w N T n L X > < a : K e y V a l u e O f D i a g r a m O b j e c t K e y a n y T y p e z b w N T n L X > < a : K e y > < K e y > C o l u m n s \ R o u n d   o f   A   & a m p ;   F < / K e y > < / a : K e y > < a : V a l u e   i : t y p e = " M e a s u r e G r i d N o d e V i e w S t a t e " > < C o l u m n > 1 1 < / C o l u m n > < L a y e d O u t > t r u e < / L a y e d O u t > < / a : V a l u e > < / a : K e y V a l u e O f D i a g r a m O b j e c t K e y a n y T y p e z b w N T n L X > < a : K e y V a l u e O f D i a g r a m O b j e c t K e y a n y T y p e z b w N T n L X > < a : K e y > < K e y > C o l u m n s \ T o t a l < / K e y > < / a : K e y > < a : V a l u e   i : t y p e = " M e a s u r e G r i d N o d e V i e w S t a t e " > < C o l u m n > 1 2 < / C o l u m n > < L a y e d O u t > t r u e < / L a y e d O u t > < / a : V a l u e > < / a : K e y V a l u e O f D i a g r a m O b j e c t K e y a n y T y p e z b w N T n L X > < a : K e y V a l u e O f D i a g r a m O b j e c t K e y a n y T y p e z b w N T n L X > < a : K e y > < K e y > C o l u m n s \ G r a d e   S c a l e < / K e y > < / a : K e y > < a : V a l u e   i : t y p e = " M e a s u r e G r i d N o d e V i e w S t a t e " > < C o l u m n > 1 3 < / C o l u m n > < L a y e d O u t > t r u e < / L a y e d O u t > < / a : V a l u e > < / a : K e y V a l u e O f D i a g r a m O b j e c t K e y a n y T y p e z b w N T n L X > < a : K e y V a l u e O f D i a g r a m O b j e c t K e y a n y T y p e z b w N T n L X > < a : K e y > < K e y > C o l u m n s \ G r a d e   P o i n t < / K e y > < / a : K e y > < a : V a l u e   i : t y p e = " M e a s u r e G r i d N o d e V i e w S t a t e " > < C o l u m n > 1 4 < / C o l u m n > < L a y e d O u t > t r u e < / L a y e d O u t > < / a : V a l u e > < / a : K e y V a l u e O f D i a g r a m O b j e c t K e y a n y T y p e z b w N T n L X > < a : K e y V a l u e O f D i a g r a m O b j e c t K e y a n y T y p e z b w N T n L X > < a : K e y > < K e y > C o l u m n s \ R e m a r k s < / K e y > < / a : K e y > < a : V a l u e   i : t y p e = " M e a s u r e G r i d N o d e V i e w S t a t e " > < C o l u m n > 1 5 < / C o l u m n > < L a y e d O u t > t r u e < / L a y e d O u t > < / a : V a l u e > < / a : K e y V a l u e O f D i a g r a m O b j e c t K e y a n y T y p e z b w N T n L X > < / V i e w S t a t e s > < / D i a g r a m M a n a g e r . S e r i a l i z a b l e D i a g r a m > < D i a g r a m M a n a g e r . S e r i a l i z a b l e D i a g r a m > < A d a p t e r   i : t y p e = " M e a s u r e D i a g r a m S a n d b o x A d a p t e r " > < T a b l e N a m e > T h i r d _ S e m e s t e r _ D a t a _ S t r u c t u r e _ L a b 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 T h i r d _ S e m e s t e r _ D a t a _ S t r u c t u r e _ L a b 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 C o l u m n s \ L a b   P e r f o m a n c e < / K e y > < / D i a g r a m O b j e c t K e y > < D i a g r a m O b j e c t K e y > < K e y > C o l u m n s \ A t t e n d a n c e < / K e y > < / D i a g r a m O b j e c t K e y > < D i a g r a m O b j e c t K e y > < K e y > C o l u m n s \ A s s i g n m e n t < / K e y > < / D i a g r a m O b j e c t K e y > < D i a g r a m O b j e c t K e y > < K e y > C o l u m n s \ F i n a l < / K e y > < / D i a g r a m O b j e c t K e y > < D i a g r a m O b j e c t K e y > < K e y > C o l u m n s \ A s s   & a m p ;   F i n a l < / K e y > < / D i a g r a m O b j e c t K e y > < D i a g r a m O b j e c t K e y > < K e y > C o l u m n s \ R o u n d   o f   A 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 C o l u m n s \ L a b   P e r f o m a n c e < / K e y > < / a : K e y > < a : V a l u e   i : t y p e = " M e a s u r e G r i d N o d e V i e w S t a t e " > < C o l u m n > 2 < / C o l u m n > < L a y e d O u t > t r u e < / L a y e d O u t > < / a : V a l u e > < / a : K e y V a l u e O f D i a g r a m O b j e c t K e y a n y T y p e z b w N T n L X > < a : K e y V a l u e O f D i a g r a m O b j e c t K e y a n y T y p e z b w N T n L X > < a : K e y > < K e y > C o l u m n s \ A t t e n d a n c e < / K e y > < / a : K e y > < a : V a l u e   i : t y p e = " M e a s u r e G r i d N o d e V i e w S t a t e " > < C o l u m n > 3 < / C o l u m n > < L a y e d O u t > t r u e < / L a y e d O u t > < / a : V a l u e > < / a : K e y V a l u e O f D i a g r a m O b j e c t K e y a n y T y p e z b w N T n L X > < a : K e y V a l u e O f D i a g r a m O b j e c t K e y a n y T y p e z b w N T n L X > < a : K e y > < K e y > C o l u m n s \ A s s i g n m e n t < / K e y > < / a : K e y > < a : V a l u e   i : t y p e = " M e a s u r e G r i d N o d e V i e w S t a t e " > < C o l u m n > 4 < / C o l u m n > < L a y e d O u t > t r u e < / L a y e d O u t > < / a : V a l u e > < / a : K e y V a l u e O f D i a g r a m O b j e c t K e y a n y T y p e z b w N T n L X > < a : K e y V a l u e O f D i a g r a m O b j e c t K e y a n y T y p e z b w N T n L X > < a : K e y > < K e y > C o l u m n s \ F i n a l < / K e y > < / a : K e y > < a : V a l u e   i : t y p e = " M e a s u r e G r i d N o d e V i e w S t a t e " > < C o l u m n > 5 < / C o l u m n > < L a y e d O u t > t r u e < / L a y e d O u t > < / a : V a l u e > < / a : K e y V a l u e O f D i a g r a m O b j e c t K e y a n y T y p e z b w N T n L X > < a : K e y V a l u e O f D i a g r a m O b j e c t K e y a n y T y p e z b w N T n L X > < a : K e y > < K e y > C o l u m n s \ A s s   & a m p ;   F i n a l < / K e y > < / a : K e y > < a : V a l u e   i : t y p e = " M e a s u r e G r i d N o d e V i e w S t a t e " > < C o l u m n > 6 < / C o l u m n > < L a y e d O u t > t r u e < / L a y e d O u t > < / a : V a l u e > < / a : K e y V a l u e O f D i a g r a m O b j e c t K e y a n y T y p e z b w N T n L X > < a : K e y V a l u e O f D i a g r a m O b j e c t K e y a n y T y p e z b w N T n L X > < a : K e y > < K e y > C o l u m n s \ R o u n d   o f   A   & a m p ;   F < / K e y > < / a : K e y > < a : V a l u e   i : t y p e = " M e a s u r e G r i d N o d e V i e w S t a t e " > < C o l u m n > 7 < / C o l u m n > < L a y e d O u t > t r u e < / L a y e d O u t > < / a : V a l u e > < / a : K e y V a l u e O f D i a g r a m O b j e c t K e y a n y T y p e z b w N T n L X > < a : K e y V a l u e O f D i a g r a m O b j e c t K e y a n y T y p e z b w N T n L X > < a : K e y > < K e y > C o l u m n s \ T o t a l < / K e y > < / a : K e y > < a : V a l u e   i : t y p e = " M e a s u r e G r i d N o d e V i e w S t a t e " > < C o l u m n > 8 < / C o l u m n > < L a y e d O u t > t r u e < / L a y e d O u t > < / a : V a l u e > < / a : K e y V a l u e O f D i a g r a m O b j e c t K e y a n y T y p e z b w N T n L X > < a : K e y V a l u e O f D i a g r a m O b j e c t K e y a n y T y p e z b w N T n L X > < a : K e y > < K e y > C o l u m n s \ G r a d e   S c a l e < / K e y > < / a : K e y > < a : V a l u e   i : t y p e = " M e a s u r e G r i d N o d e V i e w S t a t e " > < C o l u m n > 9 < / C o l u m n > < L a y e d O u t > t r u e < / L a y e d O u t > < / a : V a l u e > < / a : K e y V a l u e O f D i a g r a m O b j e c t K e y a n y T y p e z b w N T n L X > < a : K e y V a l u e O f D i a g r a m O b j e c t K e y a n y T y p e z b w N T n L X > < a : K e y > < K e y > C o l u m n s \ G r a d e   P o i n t < / K e y > < / a : K e y > < a : V a l u e   i : t y p e = " M e a s u r e G r i d N o d e V i e w S t a t e " > < C o l u m n > 1 0 < / C o l u m n > < L a y e d O u t > t r u e < / L a y e d O u t > < / a : V a l u e > < / a : K e y V a l u e O f D i a g r a m O b j e c t K e y a n y T y p e z b w N T n L X > < a : K e y V a l u e O f D i a g r a m O b j e c t K e y a n y T y p e z b w N T n L X > < a : K e y > < K e y > C o l u m n s \ R e m a r k s < / K e y > < / a : K e y > < a : V a l u e   i : t y p e = " M e a s u r e G r i d N o d e V i e w S t a t e " > < C o l u m n > 1 1 < / C o l u m n > < L a y e d O u t > t r u e < / L a y e d O u t > < / a : V a l u e > < / a : K e y V a l u e O f D i a g r a m O b j e c t K e y a n y T y p e z b w N T n L X > < / V i e w S t a t e s > < / D i a g r a m M a n a g e r . S e r i a l i z a b l e D i a g r a m > < D i a g r a m M a n a g e r . S e r i a l i z a b l e D i a g r a m > < A d a p t e r   i : t y p e = " M e a s u r e D i a g r a m S a n d b o x A d a p t e r " > < T a b l e N a m e > T h i r d _ S e m e s t e r _ C o m p u t e r _ N e t w o r k _ L a b < / 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 T h i r d _ S e m e s t e r _ C o m p u t e r _ N e t w o r k _ L a b < / 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 C o l u m n s \ L a b   P e r f o m a n c e < / K e y > < / D i a g r a m O b j e c t K e y > < D i a g r a m O b j e c t K e y > < K e y > C o l u m n s \ A t t e n d a n c e < / K e y > < / D i a g r a m O b j e c t K e y > < D i a g r a m O b j e c t K e y > < K e y > C o l u m n s \ A s s i g n m e n t < / K e y > < / D i a g r a m O b j e c t K e y > < D i a g r a m O b j e c t K e y > < K e y > C o l u m n s \ F i n a l < / K e y > < / D i a g r a m O b j e c t K e y > < D i a g r a m O b j e c t K e y > < K e y > C o l u m n s \ A s s   & a m p ;   F i n a l < / K e y > < / D i a g r a m O b j e c t K e y > < D i a g r a m O b j e c t K e y > < K e y > C o l u m n s \ R o u n d   o f   A 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 C o l u m n s \ L a b   P e r f o m a n c e < / K e y > < / a : K e y > < a : V a l u e   i : t y p e = " M e a s u r e G r i d N o d e V i e w S t a t e " > < C o l u m n > 2 < / C o l u m n > < L a y e d O u t > t r u e < / L a y e d O u t > < / a : V a l u e > < / a : K e y V a l u e O f D i a g r a m O b j e c t K e y a n y T y p e z b w N T n L X > < a : K e y V a l u e O f D i a g r a m O b j e c t K e y a n y T y p e z b w N T n L X > < a : K e y > < K e y > C o l u m n s \ A t t e n d a n c e < / K e y > < / a : K e y > < a : V a l u e   i : t y p e = " M e a s u r e G r i d N o d e V i e w S t a t e " > < C o l u m n > 3 < / C o l u m n > < L a y e d O u t > t r u e < / L a y e d O u t > < / a : V a l u e > < / a : K e y V a l u e O f D i a g r a m O b j e c t K e y a n y T y p e z b w N T n L X > < a : K e y V a l u e O f D i a g r a m O b j e c t K e y a n y T y p e z b w N T n L X > < a : K e y > < K e y > C o l u m n s \ A s s i g n m e n t < / K e y > < / a : K e y > < a : V a l u e   i : t y p e = " M e a s u r e G r i d N o d e V i e w S t a t e " > < C o l u m n > 4 < / C o l u m n > < L a y e d O u t > t r u e < / L a y e d O u t > < / a : V a l u e > < / a : K e y V a l u e O f D i a g r a m O b j e c t K e y a n y T y p e z b w N T n L X > < a : K e y V a l u e O f D i a g r a m O b j e c t K e y a n y T y p e z b w N T n L X > < a : K e y > < K e y > C o l u m n s \ F i n a l < / K e y > < / a : K e y > < a : V a l u e   i : t y p e = " M e a s u r e G r i d N o d e V i e w S t a t e " > < C o l u m n > 5 < / C o l u m n > < L a y e d O u t > t r u e < / L a y e d O u t > < / a : V a l u e > < / a : K e y V a l u e O f D i a g r a m O b j e c t K e y a n y T y p e z b w N T n L X > < a : K e y V a l u e O f D i a g r a m O b j e c t K e y a n y T y p e z b w N T n L X > < a : K e y > < K e y > C o l u m n s \ A s s   & a m p ;   F i n a l < / K e y > < / a : K e y > < a : V a l u e   i : t y p e = " M e a s u r e G r i d N o d e V i e w S t a t e " > < C o l u m n > 6 < / C o l u m n > < L a y e d O u t > t r u e < / L a y e d O u t > < / a : V a l u e > < / a : K e y V a l u e O f D i a g r a m O b j e c t K e y a n y T y p e z b w N T n L X > < a : K e y V a l u e O f D i a g r a m O b j e c t K e y a n y T y p e z b w N T n L X > < a : K e y > < K e y > C o l u m n s \ R o u n d   o f   A   & a m p ;   F < / K e y > < / a : K e y > < a : V a l u e   i : t y p e = " M e a s u r e G r i d N o d e V i e w S t a t e " > < C o l u m n > 7 < / C o l u m n > < L a y e d O u t > t r u e < / L a y e d O u t > < / a : V a l u e > < / a : K e y V a l u e O f D i a g r a m O b j e c t K e y a n y T y p e z b w N T n L X > < a : K e y V a l u e O f D i a g r a m O b j e c t K e y a n y T y p e z b w N T n L X > < a : K e y > < K e y > C o l u m n s \ T o t a l < / K e y > < / a : K e y > < a : V a l u e   i : t y p e = " M e a s u r e G r i d N o d e V i e w S t a t e " > < C o l u m n > 8 < / C o l u m n > < L a y e d O u t > t r u e < / L a y e d O u t > < / a : V a l u e > < / a : K e y V a l u e O f D i a g r a m O b j e c t K e y a n y T y p e z b w N T n L X > < a : K e y V a l u e O f D i a g r a m O b j e c t K e y a n y T y p e z b w N T n L X > < a : K e y > < K e y > C o l u m n s \ G r a d e   S c a l e < / K e y > < / a : K e y > < a : V a l u e   i : t y p e = " M e a s u r e G r i d N o d e V i e w S t a t e " > < C o l u m n > 9 < / C o l u m n > < L a y e d O u t > t r u e < / L a y e d O u t > < / a : V a l u e > < / a : K e y V a l u e O f D i a g r a m O b j e c t K e y a n y T y p e z b w N T n L X > < a : K e y V a l u e O f D i a g r a m O b j e c t K e y a n y T y p e z b w N T n L X > < a : K e y > < K e y > C o l u m n s \ G r a d e   P o i n t < / K e y > < / a : K e y > < a : V a l u e   i : t y p e = " M e a s u r e G r i d N o d e V i e w S t a t e " > < C o l u m n > 1 0 < / C o l u m n > < L a y e d O u t > t r u e < / L a y e d O u t > < / a : V a l u e > < / a : K e y V a l u e O f D i a g r a m O b j e c t K e y a n y T y p e z b w N T n L X > < a : K e y V a l u e O f D i a g r a m O b j e c t K e y a n y T y p e z b w N T n L X > < a : K e y > < K e y > C o l u m n s \ R e m a r k s < / K e y > < / a : K e y > < a : V a l u e   i : t y p e = " M e a s u r e G r i d N o d e V i e w S t a t e " > < C o l u m n > 1 1 < / C o l u m n > < L a y e d O u t > t r u e < / L a y e d O u t > < / a : V a l u e > < / a : K e y V a l u e O f D i a g r a m O b j e c t K e y a n y T y p e z b w N T n L X > < / V i e w S t a t e s > < / D i a g r a m M a n a g e r . S e r i a l i z a b l e D i a g r a m > < D i a g r a m M a n a g e r . S e r i a l i z a b l e D i a g r a m > < A d a p t e r   i : t y p e = " M e a s u r e D i a g r a m S a n d b o x A d a p t e r " > < T a b l e N a m e > T h i r d _ S e m e s t e r _ D i s c r e t e _ M a t h e m a t i c s 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 T h i r d _ S e m e s t e r _ D i s c r e t e _ M a t h e m a t i c s 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 C o l u m n s \ R o l l   N o < / K e y > < / D i a g r a m O b j e c t K e y > < D i a g r a m O b j e c t K e y > < K e y > C o l u m n s \ N a m e   o f   S t u d e n t < / K e y > < / D i a g r a m O b j e c t K e y > < D i a g r a m O b j e c t K e y > < K e y > C o l u m n s \ Q u i z   1 < / K e y > < / D i a g r a m O b j e c t K e y > < D i a g r a m O b j e c t K e y > < K e y > C o l u m n s \ Q u i z   2 < / K e y > < / D i a g r a m O b j e c t K e y > < D i a g r a m O b j e c t K e y > < K e y > C o l u m n s \ Q u i z   3 < / K e y > < / D i a g r a m O b j e c t K e y > < D i a g r a m O b j e c t K e y > < K e y > C o l u m n s \ Q u i z   A v e r a g e < / K e y > < / D i a g r a m O b j e c t K e y > < D i a g r a m O b j e c t K e y > < K e y > C o l u m n s \ R o u n d   o f   A v e r a g e < / K e y > < / D i a g r a m O b j e c t K e y > < D i a g r a m O b j e c t K e y > < K e y > C o l u m n s \ A s s i g n m e n t < / K e y > < / D i a g r a m O b j e c t K e y > < D i a g r a m O b j e c t K e y > < K e y > C o l u m n s \ P r e s e n t a t i o n < / K e y > < / D i a g r a m O b j e c t K e y > < D i a g r a m O b j e c t K e y > < K e y > C o l u m n s \ A t t e n d a n c e < / K e y > < / D i a g r a m O b j e c t K e y > < D i a g r a m O b j e c t K e y > < K e y > C o l u m n s \ T o t a l   o u t   o f   A P A < / K e y > < / D i a g r a m O b j e c t K e y > < D i a g r a m O b j e c t K e y > < K e y > C o l u m n s \ R o u n d   o f   A P A < / K e y > < / D i a g r a m O b j e c t K e y > < D i a g r a m O b j e c t K e y > < K e y > C o l u m n s \ M i d t e r m < / K e y > < / D i a g r a m O b j e c t K e y > < D i a g r a m O b j e c t K e y > < K e y > C o l u m n s \ F i n a l < / K e y > < / D i a g r a m O b j e c t K e y > < D i a g r a m O b j e c t K e y > < K e y > C o l u m n s \ M i d   & a m p ;   F i n a l < / K e y > < / D i a g r a m O b j e c t K e y > < D i a g r a m O b j e c t K e y > < K e y > C o l u m n s \ R o u n d   o f   M   & a m p ;   F < / K e y > < / D i a g r a m O b j e c t K e y > < D i a g r a m O b j e c t K e y > < K e y > C o l u m n s \ T o t a l < / K e y > < / D i a g r a m O b j e c t K e y > < D i a g r a m O b j e c t K e y > < K e y > C o l u m n s \ G r a d e   S c a l e < / K e y > < / D i a g r a m O b j e c t K e y > < D i a g r a m O b j e c t K e y > < K e y > C o l u m n s \ G r a d e   P o i n t < / K e y > < / D i a g r a m O b j e c t K e y > < D i a g r a m O b j e c t K e y > < K e y > C o l u m n s \ R e m a r k s < / 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 8 < / F o c u s C o l u m n > < F o c u s R o w > 3 < / F o c u s R o w > < S e l e c t i o n E n d C o l u m n > 8 < / S e l e c t i o n E n d C o l u m n > < S e l e c t i o n E n d R o w > 3 < / S e l e c t i o n E n d R o w > < S e l e c t i o n S t a r t C o l u m n > 8 < / S e l e c t i o n S t a r t C o l u m n > < S e l e c t i o n S t a r t R o w > 3 < / 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 C o l u m n s \ R o l l   N o < / K e y > < / a : K e y > < a : V a l u e   i : t y p e = " M e a s u r e G r i d N o d e V i e w S t a t e " > < L a y e d O u t > t r u e < / L a y e d O u t > < / a : V a l u e > < / a : K e y V a l u e O f D i a g r a m O b j e c t K e y a n y T y p e z b w N T n L X > < a : K e y V a l u e O f D i a g r a m O b j e c t K e y a n y T y p e z b w N T n L X > < a : K e y > < K e y > C o l u m n s \ N a m e   o f   S t u d e n t < / K e y > < / a : K e y > < a : V a l u e   i : t y p e = " M e a s u r e G r i d N o d e V i e w S t a t e " > < C o l u m n > 1 < / C o l u m n > < L a y e d O u t > t r u e < / L a y e d O u t > < / a : V a l u e > < / a : K e y V a l u e O f D i a g r a m O b j e c t K e y a n y T y p e z b w N T n L X > < a : K e y V a l u e O f D i a g r a m O b j e c t K e y a n y T y p e z b w N T n L X > < a : K e y > < K e y > C o l u m n s \ Q u i z   1 < / K e y > < / a : K e y > < a : V a l u e   i : t y p e = " M e a s u r e G r i d N o d e V i e w S t a t e " > < C o l u m n > 2 < / C o l u m n > < L a y e d O u t > t r u e < / L a y e d O u t > < / a : V a l u e > < / a : K e y V a l u e O f D i a g r a m O b j e c t K e y a n y T y p e z b w N T n L X > < a : K e y V a l u e O f D i a g r a m O b j e c t K e y a n y T y p e z b w N T n L X > < a : K e y > < K e y > C o l u m n s \ Q u i z   2 < / K e y > < / a : K e y > < a : V a l u e   i : t y p e = " M e a s u r e G r i d N o d e V i e w S t a t e " > < C o l u m n > 3 < / C o l u m n > < L a y e d O u t > t r u e < / L a y e d O u t > < / a : V a l u e > < / a : K e y V a l u e O f D i a g r a m O b j e c t K e y a n y T y p e z b w N T n L X > < a : K e y V a l u e O f D i a g r a m O b j e c t K e y a n y T y p e z b w N T n L X > < a : K e y > < K e y > C o l u m n s \ Q u i z   3 < / K e y > < / a : K e y > < a : V a l u e   i : t y p e = " M e a s u r e G r i d N o d e V i e w S t a t e " > < C o l u m n > 4 < / C o l u m n > < L a y e d O u t > t r u e < / L a y e d O u t > < / a : V a l u e > < / a : K e y V a l u e O f D i a g r a m O b j e c t K e y a n y T y p e z b w N T n L X > < a : K e y V a l u e O f D i a g r a m O b j e c t K e y a n y T y p e z b w N T n L X > < a : K e y > < K e y > C o l u m n s \ Q u i z   A v e r a g e < / K e y > < / a : K e y > < a : V a l u e   i : t y p e = " M e a s u r e G r i d N o d e V i e w S t a t e " > < C o l u m n > 5 < / C o l u m n > < L a y e d O u t > t r u e < / L a y e d O u t > < / a : V a l u e > < / a : K e y V a l u e O f D i a g r a m O b j e c t K e y a n y T y p e z b w N T n L X > < a : K e y V a l u e O f D i a g r a m O b j e c t K e y a n y T y p e z b w N T n L X > < a : K e y > < K e y > C o l u m n s \ R o u n d   o f   A v e r a g e < / K e y > < / a : K e y > < a : V a l u e   i : t y p e = " M e a s u r e G r i d N o d e V i e w S t a t e " > < C o l u m n > 6 < / C o l u m n > < L a y e d O u t > t r u e < / L a y e d O u t > < / a : V a l u e > < / a : K e y V a l u e O f D i a g r a m O b j e c t K e y a n y T y p e z b w N T n L X > < a : K e y V a l u e O f D i a g r a m O b j e c t K e y a n y T y p e z b w N T n L X > < a : K e y > < K e y > C o l u m n s \ A s s i g n m e n t < / K e y > < / a : K e y > < a : V a l u e   i : t y p e = " M e a s u r e G r i d N o d e V i e w S t a t e " > < C o l u m n > 7 < / C o l u m n > < L a y e d O u t > t r u e < / L a y e d O u t > < / a : V a l u e > < / a : K e y V a l u e O f D i a g r a m O b j e c t K e y a n y T y p e z b w N T n L X > < a : K e y V a l u e O f D i a g r a m O b j e c t K e y a n y T y p e z b w N T n L X > < a : K e y > < K e y > C o l u m n s \ P r e s e n t a t i o n < / K e y > < / a : K e y > < a : V a l u e   i : t y p e = " M e a s u r e G r i d N o d e V i e w S t a t e " > < C o l u m n > 8 < / C o l u m n > < L a y e d O u t > t r u e < / L a y e d O u t > < / a : V a l u e > < / a : K e y V a l u e O f D i a g r a m O b j e c t K e y a n y T y p e z b w N T n L X > < a : K e y V a l u e O f D i a g r a m O b j e c t K e y a n y T y p e z b w N T n L X > < a : K e y > < K e y > C o l u m n s \ A t t e n d a n c e < / K e y > < / a : K e y > < a : V a l u e   i : t y p e = " M e a s u r e G r i d N o d e V i e w S t a t e " > < C o l u m n > 9 < / C o l u m n > < L a y e d O u t > t r u e < / L a y e d O u t > < / a : V a l u e > < / a : K e y V a l u e O f D i a g r a m O b j e c t K e y a n y T y p e z b w N T n L X > < a : K e y V a l u e O f D i a g r a m O b j e c t K e y a n y T y p e z b w N T n L X > < a : K e y > < K e y > C o l u m n s \ T o t a l   o u t   o f   A P A < / K e y > < / a : K e y > < a : V a l u e   i : t y p e = " M e a s u r e G r i d N o d e V i e w S t a t e " > < C o l u m n > 1 0 < / C o l u m n > < L a y e d O u t > t r u e < / L a y e d O u t > < / a : V a l u e > < / a : K e y V a l u e O f D i a g r a m O b j e c t K e y a n y T y p e z b w N T n L X > < a : K e y V a l u e O f D i a g r a m O b j e c t K e y a n y T y p e z b w N T n L X > < a : K e y > < K e y > C o l u m n s \ R o u n d   o f   A P A < / K e y > < / a : K e y > < a : V a l u e   i : t y p e = " M e a s u r e G r i d N o d e V i e w S t a t e " > < C o l u m n > 1 1 < / C o l u m n > < L a y e d O u t > t r u e < / L a y e d O u t > < / a : V a l u e > < / a : K e y V a l u e O f D i a g r a m O b j e c t K e y a n y T y p e z b w N T n L X > < a : K e y V a l u e O f D i a g r a m O b j e c t K e y a n y T y p e z b w N T n L X > < a : K e y > < K e y > C o l u m n s \ M i d t e r m < / K e y > < / a : K e y > < a : V a l u e   i : t y p e = " M e a s u r e G r i d N o d e V i e w S t a t e " > < C o l u m n > 1 2 < / C o l u m n > < L a y e d O u t > t r u e < / L a y e d O u t > < / a : V a l u e > < / a : K e y V a l u e O f D i a g r a m O b j e c t K e y a n y T y p e z b w N T n L X > < a : K e y V a l u e O f D i a g r a m O b j e c t K e y a n y T y p e z b w N T n L X > < a : K e y > < K e y > C o l u m n s \ F i n a l < / K e y > < / a : K e y > < a : V a l u e   i : t y p e = " M e a s u r e G r i d N o d e V i e w S t a t e " > < C o l u m n > 1 3 < / C o l u m n > < L a y e d O u t > t r u e < / L a y e d O u t > < / a : V a l u e > < / a : K e y V a l u e O f D i a g r a m O b j e c t K e y a n y T y p e z b w N T n L X > < a : K e y V a l u e O f D i a g r a m O b j e c t K e y a n y T y p e z b w N T n L X > < a : K e y > < K e y > C o l u m n s \ M i d   & a m p ;   F i n a l < / K e y > < / a : K e y > < a : V a l u e   i : t y p e = " M e a s u r e G r i d N o d e V i e w S t a t e " > < C o l u m n > 1 4 < / C o l u m n > < L a y e d O u t > t r u e < / L a y e d O u t > < / a : V a l u e > < / a : K e y V a l u e O f D i a g r a m O b j e c t K e y a n y T y p e z b w N T n L X > < a : K e y V a l u e O f D i a g r a m O b j e c t K e y a n y T y p e z b w N T n L X > < a : K e y > < K e y > C o l u m n s \ R o u n d   o f   M   & a m p ;   F < / K e y > < / a : K e y > < a : V a l u e   i : t y p e = " M e a s u r e G r i d N o d e V i e w S t a t e " > < C o l u m n > 1 5 < / C o l u m n > < L a y e d O u t > t r u e < / L a y e d O u t > < / a : V a l u e > < / a : K e y V a l u e O f D i a g r a m O b j e c t K e y a n y T y p e z b w N T n L X > < a : K e y V a l u e O f D i a g r a m O b j e c t K e y a n y T y p e z b w N T n L X > < a : K e y > < K e y > C o l u m n s \ T o t a l < / K e y > < / a : K e y > < a : V a l u e   i : t y p e = " M e a s u r e G r i d N o d e V i e w S t a t e " > < C o l u m n > 1 6 < / C o l u m n > < L a y e d O u t > t r u e < / L a y e d O u t > < / a : V a l u e > < / a : K e y V a l u e O f D i a g r a m O b j e c t K e y a n y T y p e z b w N T n L X > < a : K e y V a l u e O f D i a g r a m O b j e c t K e y a n y T y p e z b w N T n L X > < a : K e y > < K e y > C o l u m n s \ G r a d e   S c a l e < / K e y > < / a : K e y > < a : V a l u e   i : t y p e = " M e a s u r e G r i d N o d e V i e w S t a t e " > < C o l u m n > 1 7 < / C o l u m n > < L a y e d O u t > t r u e < / L a y e d O u t > < / a : V a l u e > < / a : K e y V a l u e O f D i a g r a m O b j e c t K e y a n y T y p e z b w N T n L X > < a : K e y V a l u e O f D i a g r a m O b j e c t K e y a n y T y p e z b w N T n L X > < a : K e y > < K e y > C o l u m n s \ G r a d e   P o i n t < / K e y > < / a : K e y > < a : V a l u e   i : t y p e = " M e a s u r e G r i d N o d e V i e w S t a t e " > < C o l u m n > 1 8 < / C o l u m n > < L a y e d O u t > t r u e < / L a y e d O u t > < / a : V a l u e > < / a : K e y V a l u e O f D i a g r a m O b j e c t K e y a n y T y p e z b w N T n L X > < a : K e y V a l u e O f D i a g r a m O b j e c t K e y a n y T y p e z b w N T n L X > < a : K e y > < K e y > C o l u m n s \ R e m a r k s < / K e y > < / a : K e y > < a : V a l u e   i : t y p e = " M e a s u r e G r i d N o d e V i e w S t a t e " > < C o l u m n > 1 9 < / C o l u m n > < L a y e d O u t > t r u e < / L a y e d O u t > < / a : V a l u e > < / a : K e y V a l u e O f D i a g r a m O b j e c t K e y a n y T y p e z b w N T n L X > < / V i e w S t a t e s > < / D i a g r a m M a n a g e r . S e r i a l i z a b l e D i a g r a m > < / A r r a y O f D i a g r a m M a n a g e r . S e r i a l i z a b l e D i a g r a m > ] ] > < / 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 2 0 2 2 - 0 4 - 0 3 T 0 1 : 5 3 : 2 6 . 1 5 0 5 7 7 1 + 0 6 : 0 0 < / L a s t P r o c e s s e d T i m e > < / D a t a M o d e l i n g S a n d b o x . S e r i a l i z e d S a n d b o x E r r o r C a c h e > ] ] > < / C u s t o m C o n t e n t > < / G e m i n i > 
</file>

<file path=customXml/item9.xml>��< ? x m l   v e r s i o n = " 1 . 0 "   e n c o d i n g = " U T F - 1 6 " ? > < G e m i n i   x m l n s = " h t t p : / / g e m i n i / p i v o t c u s t o m i z a t i o n / T a b l e O r d e r " > < C u s t o m C o n t e n t > < ! [ C D A T A [ E m p l o y e e _ C a l c u l a t e _ S a l a r y , E m p l o y e e _ I n f o r m a t i o n , C o v e r _ P a g e , I n t r o d u c t i o n , B a s i c _ K n o w l e d g e , S t u d e n t _ I n f o r m a t i o n , F i r s t _ S e m e s t e r _ C G P A , F i r s t _ S e m e s t e r _ E n g l i s h _ I , F i r s t _ S e m e s t e r _ M a t h e m a t i c s , F i r s t _ S e m e s t e r _ C o m p u t e r _ F u n d a m e n t a l s , F i r s t _ S e m e s t e r _ I n f o r m a t i o n _ S y s t e m s _ E n g i n e e r i n g , S e c o n d _ S e m e s t e r _ S G P A , S e c o n d _ S e m e s t e r _ E n g l i s h _ I I , S e c o n d _ S e m e s t e r _ S t r u c t u r e d _ P r o g r a m m i n g , S e c o n d _ S e m e s t e r _ F u n d a m e n t a l _ W e b s i t e _ D e v e l o p m e n t , S e c o n d _ S e m e s t e r _ S t r u c t u r e d _ P r o g r a m m i n g _ L a b , S e c o n d _ S e m e s t e r _ F u n d a m e n t a l _ W e b s i t e _ D e v e l o p m e n t _ L a b , T h i r d _ S e m e s t e r _ S G P A , T h i r d _ S e m e s t e r _ S t u d y _ a n d _ C o m m u n i c a t i o n _ S k i l l s , T h i r d _ S e m e s t e r _ D a t a _ S t r u c t u r e , T h i r d _ S e m e s t e r _ C o m p u t e r _ N e t w o r k , T h i r d _ S e m e s t e r _ D a t a _ S t r u c t u r e _ L a b , T h i r d _ S e m e s t e r _ C o m p u t e r _ N e t w o r k _ L a b , T h i r d _ S e m e s t e r _ D i s c r e t e _ M a t h e m a t i c s ] ] > < / C u s t o m C o n t e n t > < / G e m i n i > 
</file>

<file path=customXml/itemProps1.xml><?xml version="1.0" encoding="utf-8"?>
<ds:datastoreItem xmlns:ds="http://schemas.openxmlformats.org/officeDocument/2006/customXml" ds:itemID="{B182A96B-1968-4E90-8BDB-B7FE9BE1802C}">
  <ds:schemaRefs/>
</ds:datastoreItem>
</file>

<file path=customXml/itemProps10.xml><?xml version="1.0" encoding="utf-8"?>
<ds:datastoreItem xmlns:ds="http://schemas.openxmlformats.org/officeDocument/2006/customXml" ds:itemID="{DCFDBD68-DE4B-4F17-B0BD-74630F456860}">
  <ds:schemaRefs/>
</ds:datastoreItem>
</file>

<file path=customXml/itemProps11.xml><?xml version="1.0" encoding="utf-8"?>
<ds:datastoreItem xmlns:ds="http://schemas.openxmlformats.org/officeDocument/2006/customXml" ds:itemID="{63BB89E4-9CF1-4C8B-AC05-2428472B6FC8}">
  <ds:schemaRefs/>
</ds:datastoreItem>
</file>

<file path=customXml/itemProps12.xml><?xml version="1.0" encoding="utf-8"?>
<ds:datastoreItem xmlns:ds="http://schemas.openxmlformats.org/officeDocument/2006/customXml" ds:itemID="{C6D57B8F-1C61-4C26-8D6F-EF779FE7DC1E}">
  <ds:schemaRefs/>
</ds:datastoreItem>
</file>

<file path=customXml/itemProps13.xml><?xml version="1.0" encoding="utf-8"?>
<ds:datastoreItem xmlns:ds="http://schemas.openxmlformats.org/officeDocument/2006/customXml" ds:itemID="{18B6AD58-6B91-4915-844C-F669FB3811EB}">
  <ds:schemaRefs>
    <ds:schemaRef ds:uri="http://schemas.microsoft.com/DataMashup"/>
  </ds:schemaRefs>
</ds:datastoreItem>
</file>

<file path=customXml/itemProps14.xml><?xml version="1.0" encoding="utf-8"?>
<ds:datastoreItem xmlns:ds="http://schemas.openxmlformats.org/officeDocument/2006/customXml" ds:itemID="{77B1ACAD-81DA-420C-855E-2FE3B1D7C0BC}">
  <ds:schemaRefs/>
</ds:datastoreItem>
</file>

<file path=customXml/itemProps15.xml><?xml version="1.0" encoding="utf-8"?>
<ds:datastoreItem xmlns:ds="http://schemas.openxmlformats.org/officeDocument/2006/customXml" ds:itemID="{5D214090-D6AF-4856-9371-5FCA1FDD92EA}">
  <ds:schemaRefs/>
</ds:datastoreItem>
</file>

<file path=customXml/itemProps16.xml><?xml version="1.0" encoding="utf-8"?>
<ds:datastoreItem xmlns:ds="http://schemas.openxmlformats.org/officeDocument/2006/customXml" ds:itemID="{F99D645E-8833-46A2-BE63-C6C0F05F1E46}">
  <ds:schemaRefs/>
</ds:datastoreItem>
</file>

<file path=customXml/itemProps17.xml><?xml version="1.0" encoding="utf-8"?>
<ds:datastoreItem xmlns:ds="http://schemas.openxmlformats.org/officeDocument/2006/customXml" ds:itemID="{9ED16DD2-0934-45A3-ABD8-198709BED447}">
  <ds:schemaRefs/>
</ds:datastoreItem>
</file>

<file path=customXml/itemProps18.xml><?xml version="1.0" encoding="utf-8"?>
<ds:datastoreItem xmlns:ds="http://schemas.openxmlformats.org/officeDocument/2006/customXml" ds:itemID="{4478B0F2-97C3-480D-B516-0D780F3960F4}">
  <ds:schemaRefs/>
</ds:datastoreItem>
</file>

<file path=customXml/itemProps19.xml><?xml version="1.0" encoding="utf-8"?>
<ds:datastoreItem xmlns:ds="http://schemas.openxmlformats.org/officeDocument/2006/customXml" ds:itemID="{F9682A86-54AB-4855-90FE-B934D5D2EC3F}">
  <ds:schemaRefs/>
</ds:datastoreItem>
</file>

<file path=customXml/itemProps2.xml><?xml version="1.0" encoding="utf-8"?>
<ds:datastoreItem xmlns:ds="http://schemas.openxmlformats.org/officeDocument/2006/customXml" ds:itemID="{9AADE69D-468B-4A10-A035-A8F1DB081D0F}">
  <ds:schemaRefs/>
</ds:datastoreItem>
</file>

<file path=customXml/itemProps20.xml><?xml version="1.0" encoding="utf-8"?>
<ds:datastoreItem xmlns:ds="http://schemas.openxmlformats.org/officeDocument/2006/customXml" ds:itemID="{BC80E3A7-E219-4CA7-91F2-73D7772BEF3C}">
  <ds:schemaRefs/>
</ds:datastoreItem>
</file>

<file path=customXml/itemProps21.xml><?xml version="1.0" encoding="utf-8"?>
<ds:datastoreItem xmlns:ds="http://schemas.openxmlformats.org/officeDocument/2006/customXml" ds:itemID="{B529580D-7E18-410A-8ECB-1CBF860AE1EF}">
  <ds:schemaRefs/>
</ds:datastoreItem>
</file>

<file path=customXml/itemProps22.xml><?xml version="1.0" encoding="utf-8"?>
<ds:datastoreItem xmlns:ds="http://schemas.openxmlformats.org/officeDocument/2006/customXml" ds:itemID="{3B068903-87D2-4B7E-8B22-17277243FF68}">
  <ds:schemaRefs/>
</ds:datastoreItem>
</file>

<file path=customXml/itemProps23.xml><?xml version="1.0" encoding="utf-8"?>
<ds:datastoreItem xmlns:ds="http://schemas.openxmlformats.org/officeDocument/2006/customXml" ds:itemID="{58F2652B-4767-4AFF-B237-2784F3464F43}">
  <ds:schemaRefs/>
</ds:datastoreItem>
</file>

<file path=customXml/itemProps24.xml><?xml version="1.0" encoding="utf-8"?>
<ds:datastoreItem xmlns:ds="http://schemas.openxmlformats.org/officeDocument/2006/customXml" ds:itemID="{6E80B24A-2E73-46C5-AA3E-88E87BCE30BC}">
  <ds:schemaRefs/>
</ds:datastoreItem>
</file>

<file path=customXml/itemProps25.xml><?xml version="1.0" encoding="utf-8"?>
<ds:datastoreItem xmlns:ds="http://schemas.openxmlformats.org/officeDocument/2006/customXml" ds:itemID="{7676AB39-1E8F-4ECF-B3D8-934D7DF60E47}">
  <ds:schemaRefs/>
</ds:datastoreItem>
</file>

<file path=customXml/itemProps26.xml><?xml version="1.0" encoding="utf-8"?>
<ds:datastoreItem xmlns:ds="http://schemas.openxmlformats.org/officeDocument/2006/customXml" ds:itemID="{7A8270A2-AADF-49C3-8BB0-3D4DC5BCCE29}">
  <ds:schemaRefs/>
</ds:datastoreItem>
</file>

<file path=customXml/itemProps27.xml><?xml version="1.0" encoding="utf-8"?>
<ds:datastoreItem xmlns:ds="http://schemas.openxmlformats.org/officeDocument/2006/customXml" ds:itemID="{5F9ECCA7-01D4-4DE5-8B9D-5C7C6A3D8ED0}">
  <ds:schemaRefs/>
</ds:datastoreItem>
</file>

<file path=customXml/itemProps28.xml><?xml version="1.0" encoding="utf-8"?>
<ds:datastoreItem xmlns:ds="http://schemas.openxmlformats.org/officeDocument/2006/customXml" ds:itemID="{353EBE06-D670-411B-BA92-FCABB3373A65}">
  <ds:schemaRefs/>
</ds:datastoreItem>
</file>

<file path=customXml/itemProps29.xml><?xml version="1.0" encoding="utf-8"?>
<ds:datastoreItem xmlns:ds="http://schemas.openxmlformats.org/officeDocument/2006/customXml" ds:itemID="{5DD0F15E-EC16-444A-9337-E0FCC5DBAFDC}">
  <ds:schemaRefs/>
</ds:datastoreItem>
</file>

<file path=customXml/itemProps3.xml><?xml version="1.0" encoding="utf-8"?>
<ds:datastoreItem xmlns:ds="http://schemas.openxmlformats.org/officeDocument/2006/customXml" ds:itemID="{3DD06B81-2EAA-498A-8D3A-46829C951DBA}">
  <ds:schemaRefs/>
</ds:datastoreItem>
</file>

<file path=customXml/itemProps30.xml><?xml version="1.0" encoding="utf-8"?>
<ds:datastoreItem xmlns:ds="http://schemas.openxmlformats.org/officeDocument/2006/customXml" ds:itemID="{814BCC5B-5281-49CE-81B3-67568199DBF0}">
  <ds:schemaRefs/>
</ds:datastoreItem>
</file>

<file path=customXml/itemProps31.xml><?xml version="1.0" encoding="utf-8"?>
<ds:datastoreItem xmlns:ds="http://schemas.openxmlformats.org/officeDocument/2006/customXml" ds:itemID="{B7160D22-EF5F-4F66-9518-D69816806017}">
  <ds:schemaRefs/>
</ds:datastoreItem>
</file>

<file path=customXml/itemProps32.xml><?xml version="1.0" encoding="utf-8"?>
<ds:datastoreItem xmlns:ds="http://schemas.openxmlformats.org/officeDocument/2006/customXml" ds:itemID="{071435E0-7843-4A63-9040-93A079B09FEC}">
  <ds:schemaRefs/>
</ds:datastoreItem>
</file>

<file path=customXml/itemProps33.xml><?xml version="1.0" encoding="utf-8"?>
<ds:datastoreItem xmlns:ds="http://schemas.openxmlformats.org/officeDocument/2006/customXml" ds:itemID="{9F22A65D-1BD6-44E9-9AF1-B61CC38491C4}">
  <ds:schemaRefs/>
</ds:datastoreItem>
</file>

<file path=customXml/itemProps34.xml><?xml version="1.0" encoding="utf-8"?>
<ds:datastoreItem xmlns:ds="http://schemas.openxmlformats.org/officeDocument/2006/customXml" ds:itemID="{83785837-F019-4571-9C33-DC201BDCCD34}">
  <ds:schemaRefs/>
</ds:datastoreItem>
</file>

<file path=customXml/itemProps35.xml><?xml version="1.0" encoding="utf-8"?>
<ds:datastoreItem xmlns:ds="http://schemas.openxmlformats.org/officeDocument/2006/customXml" ds:itemID="{1383533A-C761-4EBF-ABB4-86E0C8F4C232}">
  <ds:schemaRefs/>
</ds:datastoreItem>
</file>

<file path=customXml/itemProps36.xml><?xml version="1.0" encoding="utf-8"?>
<ds:datastoreItem xmlns:ds="http://schemas.openxmlformats.org/officeDocument/2006/customXml" ds:itemID="{65228B17-ED56-403E-BBF8-77DEDAFDBB57}">
  <ds:schemaRefs/>
</ds:datastoreItem>
</file>

<file path=customXml/itemProps37.xml><?xml version="1.0" encoding="utf-8"?>
<ds:datastoreItem xmlns:ds="http://schemas.openxmlformats.org/officeDocument/2006/customXml" ds:itemID="{88248A59-0BD4-4FF0-9725-4CBA90ED4204}">
  <ds:schemaRefs/>
</ds:datastoreItem>
</file>

<file path=customXml/itemProps38.xml><?xml version="1.0" encoding="utf-8"?>
<ds:datastoreItem xmlns:ds="http://schemas.openxmlformats.org/officeDocument/2006/customXml" ds:itemID="{B40A608D-C406-46CD-A55E-3CC29C7F0DE3}">
  <ds:schemaRefs/>
</ds:datastoreItem>
</file>

<file path=customXml/itemProps39.xml><?xml version="1.0" encoding="utf-8"?>
<ds:datastoreItem xmlns:ds="http://schemas.openxmlformats.org/officeDocument/2006/customXml" ds:itemID="{0C34C70B-C522-48B6-95B6-820060EFFCB0}">
  <ds:schemaRefs/>
</ds:datastoreItem>
</file>

<file path=customXml/itemProps4.xml><?xml version="1.0" encoding="utf-8"?>
<ds:datastoreItem xmlns:ds="http://schemas.openxmlformats.org/officeDocument/2006/customXml" ds:itemID="{8C6769E6-9F06-4370-8B70-398653D19FA3}">
  <ds:schemaRefs/>
</ds:datastoreItem>
</file>

<file path=customXml/itemProps40.xml><?xml version="1.0" encoding="utf-8"?>
<ds:datastoreItem xmlns:ds="http://schemas.openxmlformats.org/officeDocument/2006/customXml" ds:itemID="{520DC795-A01C-48AF-A48B-5F8070D131D3}">
  <ds:schemaRefs/>
</ds:datastoreItem>
</file>

<file path=customXml/itemProps5.xml><?xml version="1.0" encoding="utf-8"?>
<ds:datastoreItem xmlns:ds="http://schemas.openxmlformats.org/officeDocument/2006/customXml" ds:itemID="{DA1AF518-A065-42C0-AB4A-ADE8C86B0983}">
  <ds:schemaRefs/>
</ds:datastoreItem>
</file>

<file path=customXml/itemProps6.xml><?xml version="1.0" encoding="utf-8"?>
<ds:datastoreItem xmlns:ds="http://schemas.openxmlformats.org/officeDocument/2006/customXml" ds:itemID="{8D52D45F-0934-417A-96A4-C00AB85A673B}">
  <ds:schemaRefs/>
</ds:datastoreItem>
</file>

<file path=customXml/itemProps7.xml><?xml version="1.0" encoding="utf-8"?>
<ds:datastoreItem xmlns:ds="http://schemas.openxmlformats.org/officeDocument/2006/customXml" ds:itemID="{A87F6C4E-9B38-4A5B-A587-E305C5BC4E3E}">
  <ds:schemaRefs/>
</ds:datastoreItem>
</file>

<file path=customXml/itemProps8.xml><?xml version="1.0" encoding="utf-8"?>
<ds:datastoreItem xmlns:ds="http://schemas.openxmlformats.org/officeDocument/2006/customXml" ds:itemID="{35A978A9-DD49-4690-B79F-30CE612AE84B}">
  <ds:schemaRefs/>
</ds:datastoreItem>
</file>

<file path=customXml/itemProps9.xml><?xml version="1.0" encoding="utf-8"?>
<ds:datastoreItem xmlns:ds="http://schemas.openxmlformats.org/officeDocument/2006/customXml" ds:itemID="{25135208-98B7-4C8D-921D-3B04B002FF00}">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Cover Page</vt:lpstr>
      <vt:lpstr>Introduction</vt:lpstr>
      <vt:lpstr>Basic Knowledge</vt:lpstr>
      <vt:lpstr>Student Information</vt:lpstr>
      <vt:lpstr>1st Semester</vt:lpstr>
      <vt:lpstr>2nd Semester</vt:lpstr>
      <vt:lpstr>3rd Semester</vt:lpstr>
      <vt:lpstr>4th Semester</vt:lpstr>
      <vt:lpstr>5th Semester</vt:lpstr>
      <vt:lpstr>Total Semester CGPA</vt:lpstr>
      <vt:lpstr>Employee Information</vt:lpstr>
      <vt:lpstr>Employee Basic Salary</vt:lpstr>
      <vt:lpstr>Employee Gross Salary</vt:lpstr>
      <vt:lpstr>Employee Net Salary</vt:lpstr>
      <vt:lpstr>Thank You</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Mohammad Syed Nesar Ali Haider</dc:creator>
  <cp:lastModifiedBy>Mohammad Syed Nesar Ali Haider</cp:lastModifiedBy>
  <cp:lastPrinted>2022-03-29T11:49:38Z</cp:lastPrinted>
  <dcterms:created xsi:type="dcterms:W3CDTF">2015-06-05T18:17:20Z</dcterms:created>
  <dcterms:modified xsi:type="dcterms:W3CDTF">2022-04-10T11:10:50Z</dcterms:modified>
</cp:coreProperties>
</file>